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mach\OneDrive\Desktop\HOA\Reddit Research\Final Documents\"/>
    </mc:Choice>
  </mc:AlternateContent>
  <xr:revisionPtr revIDLastSave="0" documentId="8_{E7B597D6-F9C8-484D-8D9D-F6095BE1CF7C}" xr6:coauthVersionLast="47" xr6:coauthVersionMax="47" xr10:uidLastSave="{00000000-0000-0000-0000-000000000000}"/>
  <bookViews>
    <workbookView xWindow="-98" yWindow="-98" windowWidth="22695" windowHeight="14595" tabRatio="500" activeTab="3" xr2:uid="{00000000-000D-0000-FFFF-FFFF00000000}"/>
  </bookViews>
  <sheets>
    <sheet name="Cover" sheetId="1" r:id="rId1"/>
    <sheet name="Database Guide &amp; Links" sheetId="2" r:id="rId2"/>
    <sheet name="START HERE - READ ME" sheetId="3" r:id="rId3"/>
    <sheet name="Complaint Databas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M504" i="4" l="1"/>
  <c r="M503" i="4"/>
  <c r="M502" i="4"/>
  <c r="M501" i="4"/>
  <c r="M500" i="4"/>
  <c r="M499" i="4"/>
  <c r="M498" i="4"/>
  <c r="M497" i="4"/>
  <c r="M496" i="4"/>
  <c r="M495" i="4"/>
  <c r="M494" i="4"/>
  <c r="M493" i="4"/>
  <c r="M492" i="4"/>
  <c r="M491" i="4"/>
  <c r="M490" i="4"/>
  <c r="M489" i="4"/>
  <c r="M488" i="4"/>
  <c r="M487" i="4"/>
  <c r="M486" i="4"/>
  <c r="M485" i="4"/>
  <c r="M484" i="4"/>
  <c r="M483" i="4"/>
  <c r="M482" i="4"/>
  <c r="M481" i="4"/>
  <c r="M480" i="4"/>
  <c r="M479" i="4"/>
  <c r="M478" i="4"/>
  <c r="M477" i="4"/>
  <c r="M476" i="4"/>
  <c r="M475" i="4"/>
  <c r="M474" i="4"/>
  <c r="M473" i="4"/>
  <c r="M472" i="4"/>
  <c r="M471" i="4"/>
  <c r="M470" i="4"/>
  <c r="M469" i="4"/>
  <c r="M468" i="4"/>
  <c r="M467" i="4"/>
  <c r="M466" i="4"/>
  <c r="M465" i="4"/>
  <c r="M464" i="4"/>
  <c r="M463" i="4"/>
  <c r="M462" i="4"/>
  <c r="M461" i="4"/>
  <c r="M460" i="4"/>
  <c r="M459" i="4"/>
  <c r="M458" i="4"/>
  <c r="M457" i="4"/>
  <c r="M456" i="4"/>
  <c r="M455" i="4"/>
  <c r="M454" i="4"/>
  <c r="M453" i="4"/>
  <c r="M452" i="4"/>
  <c r="M451" i="4"/>
  <c r="M450" i="4"/>
  <c r="M449" i="4"/>
  <c r="M448" i="4"/>
  <c r="M447" i="4"/>
  <c r="M446" i="4"/>
  <c r="M445" i="4"/>
  <c r="M444" i="4"/>
  <c r="M443" i="4"/>
  <c r="M442" i="4"/>
  <c r="M441" i="4"/>
  <c r="M440" i="4"/>
  <c r="M439" i="4"/>
  <c r="M438" i="4"/>
  <c r="M437" i="4"/>
  <c r="M436" i="4"/>
  <c r="M435" i="4"/>
  <c r="M434" i="4"/>
  <c r="M433" i="4"/>
  <c r="M432" i="4"/>
  <c r="M431" i="4"/>
  <c r="M430" i="4"/>
  <c r="M429" i="4"/>
  <c r="M428" i="4"/>
  <c r="M427" i="4"/>
  <c r="M426" i="4"/>
  <c r="M425" i="4"/>
  <c r="M424" i="4"/>
  <c r="M423" i="4"/>
  <c r="M422" i="4"/>
  <c r="M421" i="4"/>
  <c r="M420" i="4"/>
  <c r="M419" i="4"/>
  <c r="M418" i="4"/>
  <c r="M417" i="4"/>
  <c r="M416" i="4"/>
  <c r="M415" i="4"/>
  <c r="M414" i="4"/>
  <c r="M413" i="4"/>
  <c r="M412" i="4"/>
  <c r="M411" i="4"/>
  <c r="M410" i="4"/>
  <c r="M409" i="4"/>
  <c r="M408" i="4"/>
  <c r="M407" i="4"/>
  <c r="M406" i="4"/>
  <c r="M405" i="4"/>
  <c r="M404" i="4"/>
  <c r="M403" i="4"/>
  <c r="M402" i="4"/>
  <c r="M401" i="4"/>
  <c r="M400" i="4"/>
  <c r="M399" i="4"/>
  <c r="M398" i="4"/>
  <c r="M397" i="4"/>
  <c r="M396" i="4"/>
  <c r="M395" i="4"/>
  <c r="M394" i="4"/>
  <c r="M393" i="4"/>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F3" i="4"/>
  <c r="E3" i="4"/>
  <c r="D3" i="4"/>
  <c r="C3" i="4"/>
  <c r="B3" i="4"/>
  <c r="A3" i="4"/>
  <c r="F54" i="3"/>
  <c r="A54" i="3"/>
  <c r="A33" i="2"/>
  <c r="A32" i="2"/>
  <c r="A31" i="2"/>
  <c r="A30" i="2"/>
  <c r="A29" i="2"/>
  <c r="A28" i="2"/>
  <c r="A23" i="2"/>
  <c r="A22" i="2"/>
</calcChain>
</file>

<file path=xl/sharedStrings.xml><?xml version="1.0" encoding="utf-8"?>
<sst xmlns="http://schemas.openxmlformats.org/spreadsheetml/2006/main" count="8477" uniqueCount="5338">
  <si>
    <t>DATABASE GUIDE, DEFINITIONS &amp; CLICKABLE LINKS</t>
  </si>
  <si>
    <t>WHAT THIS DATABASE IS AND WHY I BUILT IT</t>
  </si>
  <si>
    <t>This sample database grew out of a much larger research project. While I was researching the HOA industry, the same issues kept appearing: management companies, vendors, bidding, collections, insurance, banking, developer control, fees, contracts, and the movement of money and decision-making through community associations. I gathered these records in one place to see whether the issues were isolated or part of a larger pattern. The 500 records in this workbook are a research sample. They are in no way a complete collection of HOA complaints, lawsuits, criminal matters, regulatory actions, or questionable financial practices in the United States.</t>
  </si>
  <si>
    <t>WHY THE SAMPLE MATTERS: Viewed one at a time, each record can look like one local dispute. Viewed together, the concentration of complaints, lawsuits, enforcement actions, criminal matters, and financial mechanisms tells a much larger story about a very fractured HOA management industry. A sourced nationwide record set can help journalists, legislators, regulators, and researchers see that these issues extend beyond one board, one company, one city, or one state.</t>
  </si>
  <si>
    <t>RECORDS I GATHERED</t>
  </si>
  <si>
    <t>DIFFERENT TYPES OF RECORDS</t>
  </si>
  <si>
    <t>WORKBOOK SECTIONS</t>
  </si>
  <si>
    <t>WHAT EACH WORKBOOK SECTION CONTAINS</t>
  </si>
  <si>
    <t>Open</t>
  </si>
  <si>
    <t>Section</t>
  </si>
  <si>
    <t>What It Contains</t>
  </si>
  <si>
    <t>Complaint Database</t>
  </si>
  <si>
    <t>The main research set: 500 separately coded records. Each row identifies the group or perspective, state, company and role if named, issue type, summary of what happened, amount or comparison when available, evidence strength, source type and title, active source URL, research status, a record-specific guardrail, research lane and color category.</t>
  </si>
  <si>
    <t>START HERE - READ ME</t>
  </si>
  <si>
    <t>My first-person explanation of how the research started, what I was looking for, why this is a research starting point, how different people can use it, the central guardrail against treating allegations as proven facts, and the six category definitions and totals.</t>
  </si>
  <si>
    <t>THE SIX TYPES OF RECORDS: WHAT EACH ONE ACTUALLY MEANS</t>
  </si>
  <si>
    <t>Count</t>
  </si>
  <si>
    <t>Category</t>
  </si>
  <si>
    <t>Why a Record Is in This Category</t>
  </si>
  <si>
    <t>What You Must Check Before Drawing a Conclusion</t>
  </si>
  <si>
    <t>Lawsuit / Court Case</t>
  </si>
  <si>
    <t>Civil complaints, class actions, trial-court proceedings, appeals, published opinions, settlements and other court records involving HOA-related financial harm, vendor selection, contracts, fees, control or related mechanisms.</t>
  </si>
  <si>
    <t>A lawsuit records claims and a court process. It does not automatically prove the claims. Check whether the matter is pending, dismissed, settled, reversed, or decided, and read the Research Status, Guardrail and source.</t>
  </si>
  <si>
    <t>Homeowner / Property Owner Complaint</t>
  </si>
  <si>
    <t>First-person reports from homeowners or property owners describing suspected steering, kickbacks, self-dealing, inflated charges, vendor access, missing money, conflicts or similar financial harm when the record itself is not a court case.</t>
  </si>
  <si>
    <t>These are experiences, allegations, suspicions or research leads. They may identify a mechanism worth investigating, but they do not independently establish illegality, motive, ownership relationships or financial loss.</t>
  </si>
  <si>
    <t>Board Member Complaint</t>
  </si>
  <si>
    <t>First-person reports from current or former board members who describe what they observed from inside association decision-making, such as bidding concerns, undisclosed relationships, vendor pressure, kickbacks, invoices, missing records or financial conflicts.</t>
  </si>
  <si>
    <t>Board access can make the account important, but the speaker's position does not make every claim proven. Check whether audits, contracts, minutes, court records, law-enforcement records or other documents support it.</t>
  </si>
  <si>
    <t>Criminal Case / Prosecution</t>
  </si>
  <si>
    <t>Criminal investigations, arrests, charges, indictments, prosecutions, guilty pleas, convictions, sentencing records and law-enforcement descriptions of alleged or admitted conduct connected to association money, vendors, kickbacks, fraud or theft.</t>
  </si>
  <si>
    <t>Status is critical. An investigation, arrest, charge or indictment is not a conviction. Distinguish allegations from guilty pleas, convictions and sentencing, and avoid counting multiple defendants or articles as separate schemes.</t>
  </si>
  <si>
    <t>Regulatory Action / Enforcement</t>
  </si>
  <si>
    <t>Actions, orders, administrative cases, consent agreements, settlements or enforcement matters brought by government regulators, licensing agencies, attorneys general or consumer-protection authorities.</t>
  </si>
  <si>
    <t>A regulator's involvement is stronger than a private complaint, but outcomes differ. Check whether there was a finding, contested order, consent settlement, refund, penalty, dismissal or settlement without an admission of wrongdoing.</t>
  </si>
  <si>
    <t>Industry Practice / Financial Mechanism</t>
  </si>
  <si>
    <t>Records explaining how an HOA-related fee, contract, vendor arrangement, banking or insurance practice, payment platform, collection structure, developer-control provision, referral arrangement or other financial mechanism actually operates.</t>
  </si>
  <si>
    <t>This category may document a structure without accusing anyone of wrongdoing. The purpose is to make the mechanism visible so people can examine incentives, disclosure, control and who benefits, not to label every use of the practice improper.</t>
  </si>
  <si>
    <t>HOW I INTENDED PEOPLE TO USE THE DATABASE</t>
  </si>
  <si>
    <t>1</t>
  </si>
  <si>
    <t>Start with the purpose</t>
  </si>
  <si>
    <t>Use the database to ask better questions and identify patterns worth checking, not to turn every allegation into a conclusion.</t>
  </si>
  <si>
    <t>2</t>
  </si>
  <si>
    <t>Filter the 500 records</t>
  </si>
  <si>
    <t>Use Color Category (Q), State (D), Company Named (E), Issue Type (G), Evidence Strength (J), Source Type (K), Research Status (N) and Research Lane (P).</t>
  </si>
  <si>
    <t>3</t>
  </si>
  <si>
    <t>Read the whole row</t>
  </si>
  <si>
    <t>What Happened is only a summary. Read the amount, evidence strength, source, status and record-specific guardrail together.</t>
  </si>
  <si>
    <t>4</t>
  </si>
  <si>
    <t>Follow my source</t>
  </si>
  <si>
    <t>Open the active Source URL in Column M. Read the underlying complaint, opinion, article, agency record, governing document or first-person account yourself.</t>
  </si>
  <si>
    <t>5</t>
  </si>
  <si>
    <t>Separate evidence types</t>
  </si>
  <si>
    <t>A homeowner report, filed lawsuit, criminal charge, guilty plea, appellate decision and documented business mechanism do not carry the same evidentiary weight.</t>
  </si>
  <si>
    <t>6</t>
  </si>
  <si>
    <t>Watch for overlap</t>
  </si>
  <si>
    <t>Several articles, defendants, appeals or related proceedings may belong to one underlying event. Do not count every record as a separate proven incident.</t>
  </si>
  <si>
    <t>7</t>
  </si>
  <si>
    <t>Use it from your own position</t>
  </si>
  <si>
    <t>A homeowner or board member may recognize a mechanism. A journalist may see the same company or practice in several places. A legislator, regulator or researcher may find a supposedly isolated issue appearing elsewhere.</t>
  </si>
  <si>
    <t>THE CENTRAL RESEARCH GUARDRAIL
Inclusion in this database does not mean an allegation is true, and it does not mean every named party did something wrong. The workbook intentionally contains different forms of evidence: allegations, first-person accounts, litigation, regulatory matters, criminal matters, documented mechanisms and cases with mixed or unfavorable outcomes when the underlying record is still useful for understanding how a system or transaction worked. Status, outcome, evidence strength, guardrail and source must be read together.</t>
  </si>
  <si>
    <t>CASA ALLIANCE HOA COMPLAINT &amp; LITIGATION DATABASE</t>
  </si>
  <si>
    <t>START HERE: WHAT THIS SAMPLE IS, WHY IT MATTERS, AND HOW TO USE IT</t>
  </si>
  <si>
    <t>HOW THIS SAMPLE DATABASE STARTED</t>
  </si>
  <si>
    <t>This sample database grew out of a much larger research project. While I was researching the HOA industry, the same kinds of issues kept appearing: management companies, vendors, bidding, collections, insurance, banking, developer control, fees, contracts, and the way money and decision-making move through community associations. I began gathering those records in one place so I could see whether the issues were truly isolated or part of a larger pattern.</t>
  </si>
  <si>
    <t>WHAT HAPPENED WHEN I PUT THE RECORDS TOGETHER</t>
  </si>
  <si>
    <t>One source led to another. Homeowner and board-member complaints led to lawsuits. Lawsuits led to criminal cases, regulatory actions, court opinions, governing documents, and records showing how certain financial arrangements and business practices work. Viewed one at a time, each matter can look like one local dispute. Viewed together, the concentration of lawsuits, complaints, enforcement actions, criminal matters, and financial mechanisms tells a much larger story about a very fractured HOA management industry.</t>
  </si>
  <si>
    <t>THIS IS A SAMPLE, NOT A COMPLETE DATABASE</t>
  </si>
  <si>
    <t>This database contains 500 records, but it is in no way a complete collection of HOA complaints, lawsuits, criminal matters, regulatory actions, or questionable financial practices in the United States. It is a sample that grew out of another project. I am making it available as a research starting point, not as the final word on the size or scope of the problem.</t>
  </si>
  <si>
    <t>WHY AMASSING THE RECORDS MATTERS</t>
  </si>
  <si>
    <t>One homeowner or a handful of people standing before a state legislator can be dismissed as an isolated case. A database of sourced records from many states is harder to dismiss. When the records are viewed together, they show that these issues are not limited to one board, one management company, one city, or one state. The problems and potential actions are nationwide. By amassing the data and preserving the proof, we have a better chance of showing journalists, legislators, regulators, and federal agencies the vastness of the issues and gaining not only state attention, but national attention.</t>
  </si>
  <si>
    <t>BUILD ON IT AND SHARE IT</t>
  </si>
  <si>
    <t>People who are interested may build onto this sample by adding sourced records and using the same basic fields: who was involved, where it happened, what was alleged or proven, the type and strength of the evidence, the current status, the research guardrail, and the original source. Share the database with journalists, legislators, regulators, researchers, and others who need to see the larger picture. The value is not in repeating a claim. The value is in preserving enough verifiable records to show the scale, concentration, and recurring mechanisms.</t>
  </si>
  <si>
    <t>HOW TO USE THE WORKBOOK</t>
  </si>
  <si>
    <t>The Complaint Database sheet contains the 500 research records. Use the filters in row 4 to narrow the records by Color Category (Q), State (D), Company Named (E), Issue Type (G), Evidence Strength (J), Source Type (K), Research Status (N), or Research Lane (P). Read the full row before drawing a conclusion. The What Happened field is a summary, so read it together with the amount, evidence strength, source type, research status, record-specific guardrail, and original source. The Source URL in Column M is active and opens the underlying record.</t>
  </si>
  <si>
    <t>IMPORTANT RESEARCH GUARDRAIL</t>
  </si>
  <si>
    <t>Inclusion in this database does not mean an allegation is true, and it does not mean every named party did something wrong. The database contains different kinds of evidence: first-person complaints, lawsuits, criminal matters, regulatory actions, court opinions, settlements, and records explaining financial mechanisms. A complaint is not a conviction. A charge is not a guilty finding. A lawsuit is not proof of every claim. Read the status, outcome, evidence strength, record-specific guardrail, and original source together.</t>
  </si>
  <si>
    <t>THE SIX RECORD TYPES IN THIS 500-RECORD SAMPLE</t>
  </si>
  <si>
    <t>269</t>
  </si>
  <si>
    <t>72</t>
  </si>
  <si>
    <t>58</t>
  </si>
  <si>
    <t>48</t>
  </si>
  <si>
    <t>10</t>
  </si>
  <si>
    <t>43</t>
  </si>
  <si>
    <t>500 CURRENT RECORDS  |  6 RECORD TYPES  |  ACTIVE SOURCE LINKS IN COLUMN M</t>
  </si>
  <si>
    <t>CASA Pay-to-Play, Procurement Abuse &amp; Suspected Fraud Complaint Database</t>
  </si>
  <si>
    <t>Complaint-only research set. A record must contain suspected, alleged, discovered, or caught financial harm connected to vendor selection, bidding, procurement, affiliated/self-dealing vendors, pay-to-play, kickbacks/referral incentives, invoice manipulation, overbilling, or a financial conflict affecting vendor choice. Neutral procurement practices and management-company marketing success stories are excluded.</t>
  </si>
  <si>
    <t>CLICK A CATEGORY TO JUMP</t>
  </si>
  <si>
    <t>Keep CASA Independent:  Donate Today</t>
  </si>
  <si>
    <t>Record ID</t>
  </si>
  <si>
    <t>Group</t>
  </si>
  <si>
    <t>Role / Perspective</t>
  </si>
  <si>
    <t>State</t>
  </si>
  <si>
    <t>Company Named</t>
  </si>
  <si>
    <t>Company Role</t>
  </si>
  <si>
    <t>Issue Type</t>
  </si>
  <si>
    <t>What Happened</t>
  </si>
  <si>
    <t>Amount / Comparison</t>
  </si>
  <si>
    <t>Evidence Strength</t>
  </si>
  <si>
    <t>Source Type</t>
  </si>
  <si>
    <t>Source Title</t>
  </si>
  <si>
    <t>Source URL</t>
  </si>
  <si>
    <t>Research Status</t>
  </si>
  <si>
    <t>Guardrail</t>
  </si>
  <si>
    <t>Research Lane</t>
  </si>
  <si>
    <t>Color Category</t>
  </si>
  <si>
    <t>CASA-61</t>
  </si>
  <si>
    <t>Homeowner</t>
  </si>
  <si>
    <t>Dissatisfied Homeowner</t>
  </si>
  <si>
    <t>Arizona</t>
  </si>
  <si>
    <t>HOA</t>
  </si>
  <si>
    <t>Named parties / management if stated</t>
  </si>
  <si>
    <t>Preferred vendor / enforcement-linked referral</t>
  </si>
  <si>
    <t>Association issued widespread repainting violations and included an offer from a preferred painter.</t>
  </si>
  <si>
    <t>Direct preferred-vendor concern</t>
  </si>
  <si>
    <t>CASA first-person narrative</t>
  </si>
  <si>
    <t>CASA source record 61</t>
  </si>
  <si>
    <t>Existing CASA evidence</t>
  </si>
  <si>
    <t>Narrative evidence only; does not independently establish overpricing, illegality, or motive.</t>
  </si>
  <si>
    <t>Core Procurement / Pay-to-Play</t>
  </si>
  <si>
    <t>E056</t>
  </si>
  <si>
    <t>Homeowner after management termination/audit</t>
  </si>
  <si>
    <t>Texas</t>
  </si>
  <si>
    <t>Horizon HOA Management; Valleyview Landscape; Patriot Repairs</t>
  </si>
  <si>
    <t>Management company / allegedly related vendors</t>
  </si>
  <si>
    <t>Alleged kickback and invoice fraud discovered by audit</t>
  </si>
  <si>
    <t>Homeowner said that after firing the HOA management company, an audit/reconstruction of the books found the association's money depleted. The narrator alleged a kickback and invoice scheme involving two other companies they said were owned by the same people.</t>
  </si>
  <si>
    <t>Association reportedly went from &gt;$650,000 to no money remaining; special assessment followed</t>
  </si>
  <si>
    <t>Serious quantified first-person fraud allegation</t>
  </si>
  <si>
    <t>Reddit</t>
  </si>
  <si>
    <t>Our HOA company stole all our money</t>
  </si>
  <si>
    <t>High-priority verification lead</t>
  </si>
  <si>
    <t>Serious allegations by a homeowner. The post says an audit discovered the losses, but underlying audit/court records must be obtained before treating fraud or ownership relationships as established fact.</t>
  </si>
  <si>
    <t>E065</t>
  </si>
  <si>
    <t>Homeowners / receiver investigation</t>
  </si>
  <si>
    <t>Florida</t>
  </si>
  <si>
    <t>The Hammocks Community Association; former board members; insider/fake vendors</t>
  </si>
  <si>
    <t>HOA / board / vendors</t>
  </si>
  <si>
    <t>Fake vendors, overpayments and kickbacks</t>
  </si>
  <si>
    <t>Forensic accounting under receivership found fake vendors tied to insiders, payments for little/no work, redundant services, and legitimate vendors allegedly overpaid so portions could be kicked back to former board members.</t>
  </si>
  <si>
    <t>Nearly $6 million in HOA overpayments/no-work/redundant-service payments reported for 2021-2022; $1.2 million employee overpayments</t>
  </si>
  <si>
    <t>Forensic-receiver / criminal-case evidence</t>
  </si>
  <si>
    <t>The Real Deal</t>
  </si>
  <si>
    <t>How the Hammocks Hosted the Biggest Known HOA Fraud</t>
  </si>
  <si>
    <t>High-priority formal inclusion</t>
  </si>
  <si>
    <t>The Hammocks is one major scheme with multiple actors and mechanisms; avoid counting each article or defendant as a separate prevalence event.</t>
  </si>
  <si>
    <t>E091</t>
  </si>
  <si>
    <t>Board Member</t>
  </si>
  <si>
    <t>Co-op board / later litigation</t>
  </si>
  <si>
    <t>New York</t>
  </si>
  <si>
    <t>Marvin Gold Management; unnamed contractors</t>
  </si>
  <si>
    <t>Managing agent / contractors</t>
  </si>
  <si>
    <t>Manager kickbacks inflated construction costs</t>
  </si>
  <si>
    <t>At a New York co-op, later-admitted managing-agent kickbacks were reported to have inflated construction costs and accompanied poor work; the board sued and recovered money from a district-attorney restitution fund.</t>
  </si>
  <si>
    <t>$30,000 recovered from kickback restitution fund</t>
  </si>
  <si>
    <t>Adjudicated/history-backed building case</t>
  </si>
  <si>
    <t>Habitat Magazine</t>
  </si>
  <si>
    <t>Turning Points</t>
  </si>
  <si>
    <t>This building may overlap the broader Marvin Gold/Manhattan kickback prosecutions; tag as same-case-family when calculating prevalence.</t>
  </si>
  <si>
    <t>E103</t>
  </si>
  <si>
    <t>HOA board participant</t>
  </si>
  <si>
    <t>Unknown</t>
  </si>
  <si>
    <t>Unnamed property manager; unnamed contractor</t>
  </si>
  <si>
    <t>Management company / contractor</t>
  </si>
  <si>
    <t>Bid inside information and $25K+ kickback</t>
  </si>
  <si>
    <t>Board participant said a former property manager pushed a contractor with whom the manager had a personal connection, gave the contractor information about competing bids and board concerns so the proposal could be adjusted, and was supposed to receive a kickback. The HOA later fired management and sued the vendor.</t>
  </si>
  <si>
    <t>$25,000+ kickback alleged</t>
  </si>
  <si>
    <t>Strong first-person caught-kickback account</t>
  </si>
  <si>
    <t>Property Manager making commission?</t>
  </si>
  <si>
    <t>High-value formal inclusion</t>
  </si>
  <si>
    <t>Account is in a discussion thread and does not name the parties; the narrator reports the kickback was discovered and litigation followed.</t>
  </si>
  <si>
    <t>E124</t>
  </si>
  <si>
    <t>Unnamed management company / pressure-washing vendor</t>
  </si>
  <si>
    <t>Management company / vendor</t>
  </si>
  <si>
    <t>Suspected referral/kickback after enforcement campaign and vendor access to owner emails</t>
  </si>
  <si>
    <t>Owner said management issued pressure-washing violation notices and, days later, a pressure-washing company emailed the entire community offering a special. The owner said the vendor appeared to have obtained residents' email addresses from management and suspected a kickback.</t>
  </si>
  <si>
    <t>No amount stated</t>
  </si>
  <si>
    <t>First-person vendor-steering suspicion</t>
  </si>
  <si>
    <t>The fix is in</t>
  </si>
  <si>
    <t>Research lead</t>
  </si>
  <si>
    <t>No kickback is proven; commenters offered alternative explanations. The email-list access is narrator-reported.</t>
  </si>
  <si>
    <t>E132</t>
  </si>
  <si>
    <t>Condo owners / civil plaintiffs</t>
  </si>
  <si>
    <t>Ohio</t>
  </si>
  <si>
    <t>Stoney Creek Condos; Ralph Bawtenheimer; Melissa Mallin; James A. Thomas</t>
  </si>
  <si>
    <t>Board treasurer / related individuals / contractor</t>
  </si>
  <si>
    <t>False and grossly inflated contractor invoices for poor or nonexistent work</t>
  </si>
  <si>
    <t>Condo owners sued alleging a board treasurer, his wife and a contractor generated false invoices grossly overstating repairs, with work allegedly never performed or substandard and financial reports misrepresenting contractor costs.</t>
  </si>
  <si>
    <t>Owners alleged more than $380,000 loss; headline references ~$500,000 fraud claim</t>
  </si>
  <si>
    <t>Civil-litigation-backed homeowner allegation</t>
  </si>
  <si>
    <t>Journal-News</t>
  </si>
  <si>
    <t>West Chester condo owners claim scheme led $380K-plus loss</t>
  </si>
  <si>
    <t>Civil allegations; source reports a judge denied defendants' motion to dismiss but that is not a finding of liability.</t>
  </si>
  <si>
    <t>E145</t>
  </si>
  <si>
    <t>Condo owner / civil plaintiff</t>
  </si>
  <si>
    <t>California</t>
  </si>
  <si>
    <t>Unnamed HOA / Golembiewski</t>
  </si>
  <si>
    <t>Board/HOA leadership</t>
  </si>
  <si>
    <t>Fabricated construction charge for work allegedly never performed</t>
  </si>
  <si>
    <t>In a California civil case, owners alleged the HOA claimed $20,000 in fees at sale, including a $4,500 construction charge for work the complaint said was never performed.</t>
  </si>
  <si>
    <t>$4,500 allegedly fabricated construction charge</t>
  </si>
  <si>
    <t>Court-record-backed civil allegation</t>
  </si>
  <si>
    <t>California Superior Court ruling summary</t>
  </si>
  <si>
    <t>Tentative ruling in case 24STCV00677</t>
  </si>
  <si>
    <t>Candidate for formal inclusion</t>
  </si>
  <si>
    <t>This is not vendor kickback evidence and is borderline; it is retained only as an alleged false construction charge documented in litigation.</t>
  </si>
  <si>
    <t>E166</t>
  </si>
  <si>
    <t>Homeowner / condo owner</t>
  </si>
  <si>
    <t>Unnamed board / management company / contractor</t>
  </si>
  <si>
    <t>Board / management / contractor</t>
  </si>
  <si>
    <t>Same contractor that caused damage rehired without apparent accountability</t>
  </si>
  <si>
    <t>Owner said management and board hired a contractor whose unpermitted common-area work was later blamed by an engineer for damage, declined to pursue the contractor, and then sought another quote from that same contractor to repair the damage using emergency funds.</t>
  </si>
  <si>
    <t>~$30,000 damage/litigation-cost context stated</t>
  </si>
  <si>
    <t>First-person suspicious vendor-retention complaint</t>
  </si>
  <si>
    <t>Reddit / LegalAdvice</t>
  </si>
  <si>
    <t>HOA issues any advice?</t>
  </si>
  <si>
    <t>No kickback or related-party relationship is established. Borderline; retain only because the complaint alleges repeated steering back to the same vendor after documented damage.</t>
  </si>
  <si>
    <t>E244</t>
  </si>
  <si>
    <t>Industry Professional / Industry Source</t>
  </si>
  <si>
    <t>Tenant-owned co-op / civil litigation</t>
  </si>
  <si>
    <t>936-938 Cliffcrest HDFC; Wavecrest Management Team Ltd.; Shuhab HDFC; Community Capital Bank/Carver; HPD</t>
  </si>
  <si>
    <t>Managing agent / sponsor / lenders / public housing agency / contractors</t>
  </si>
  <si>
    <t>RICO allegation / rehabilitation-loan diversion / contractor selection / financing conflict</t>
  </si>
  <si>
    <t>In foreclosure litigation, the co-op sought to add claims alleging rehabilitation-loan proceeds were pilfered or funneled to contractors who failed to perform required work; affidavits alleged sponsor/HPD control of contractor selection and severe construction deficiencies. Wavecrest was the managing agent appointed by the sponsor. A proposed civil RICO claim was among the claims asserted.</t>
  </si>
  <si>
    <t>$2.512M and $947,500 HPD mortgage pools; $1.65M 2006 commercial loan; affidavit later cited $3.562M contractor lump sum</t>
  </si>
  <si>
    <t>Court decision documenting detailed allegations, affidavits, financing structure and proposed RICO claims</t>
  </si>
  <si>
    <t>New York Supreme Court decision</t>
  </si>
  <si>
    <t>Peny &amp; Co. v. 936-938 Cliffcrest Housing Development Fund Corporation</t>
  </si>
  <si>
    <t>High-priority RICO / financing / project-cost convergence</t>
  </si>
  <si>
    <t>The court documented the allegations but rejected the proposed RICO claim against Peny as insufficiently pleaded and denied some fraud claims; other proposed claims were addressed separately. This is not a finding that Wavecrest or other defendants committed RICO or fraud.</t>
  </si>
  <si>
    <t>Loans / Special Assessments / Financing</t>
  </si>
  <si>
    <t>E245</t>
  </si>
  <si>
    <t>Homeowners association / antitrust plaintiffs</t>
  </si>
  <si>
    <t>Vermont</t>
  </si>
  <si>
    <t>Smugglers' Notch Homeowners Association; Smugglers' Notch Management Company Ltd.; Smugglers' Notch Water Company</t>
  </si>
  <si>
    <t>Management company / water company / homeowners</t>
  </si>
  <si>
    <t>ANTITRUST — alleged illegal tying of management/community services</t>
  </si>
  <si>
    <t>The homeowners association and 12 members asserted four Sherman Act Section 1 tying claims. The federal court described management-company contract packages covering property management, social/recreational services and rental management, and allegations that owners were required to select one of three proposed agreements.</t>
  </si>
  <si>
    <t>No damages amount stated in decision</t>
  </si>
  <si>
    <t>Federal antitrust lawsuit / court decision</t>
  </si>
  <si>
    <t>U.S. District Court, District of Vermont / GovInfo</t>
  </si>
  <si>
    <t>Smugglers Notch Homeowners' Association, Inc. v. Smugglers' Notch Management Company, Ltd.</t>
  </si>
  <si>
    <t>High-priority antitrust mechanism case</t>
  </si>
  <si>
    <t>The antitrust claims were dismissed with prejudice because plaintiffs failed to plead a plausible relevant market/market power. Inclusion documents the tying allegation and management structure, not an adjudicated antitrust violation.</t>
  </si>
  <si>
    <t>E246</t>
  </si>
  <si>
    <t>Homeowner plaintiffs / pending HOA civil litigation</t>
  </si>
  <si>
    <t>Northwood Estates (Northwood II); PMP Management; HOA board members and other residents</t>
  </si>
  <si>
    <t>Management company / board / homeowners</t>
  </si>
  <si>
    <t>RICO allegations / financial irregularities / records concealment / alleged coordinated governance abuse</t>
  </si>
  <si>
    <t>Homeowners described a 2024 lawsuit naming the HOA board, PMP Management and other residents, with 53 causes of action including multiple RICO claims; the source also describes alleged financial irregularities and years of withheld financial records.</t>
  </si>
  <si>
    <t>No quantified loss stated in source summary</t>
  </si>
  <si>
    <t>Pending civil lawsuit described by homeowner source; management company expressly named</t>
  </si>
  <si>
    <t>Talk Irvine / homeowner lawsuit lead</t>
  </si>
  <si>
    <t>Another Northwood Estates (Northwood II) Lawsuit has been filed against the Board of Directors, PMP Management...</t>
  </si>
  <si>
    <t>RICO / management-company verification lead</t>
  </si>
  <si>
    <t>The linked discussion summarizes allegations in a pending complaint and is not a judicial finding. RICO, financial-irregularity and conspiracy assertions remain allegations unless established in the court record.</t>
  </si>
  <si>
    <t>E247</t>
  </si>
  <si>
    <t>Co-op shareholder plaintiffs / civil RICO lawsuit</t>
  </si>
  <si>
    <t>1120 Fifth Avenue Corporation; current/former board members; former president John Breglio; cousin-owned elevator contractor</t>
  </si>
  <si>
    <t>Board / related-party contractor</t>
  </si>
  <si>
    <t>RICO allegation / related-party vendor / alleged kickback / election-control allegations</t>
  </si>
  <si>
    <t>Shareholders sued the co-op board under RICO, alleging a long-running pattern that included a roughly $500,000 elevator project awarded to the former board president's cousin, an alleged kickback, handpicked board membership without open elections, and other coercive conduct.</t>
  </si>
  <si>
    <t>~$500,000 elevator project; &gt;$1,000 kickback alleged; separate $300,000 settlement referenced</t>
  </si>
  <si>
    <t>Filed civil RICO allegations reported by co-op/condo industry publication</t>
  </si>
  <si>
    <t>Lawsuit Based on Racketeering Act Seeks Ouster of Fifth Avenue Co-op Board</t>
  </si>
  <si>
    <t>RICO / related-party procurement case</t>
  </si>
  <si>
    <t>These are plaintiffs' allegations; the board's attorney publicly called the lawsuit meritless. Inclusion documents the alleged conflict and procurement mechanism, not a finding of liability.</t>
  </si>
  <si>
    <t>E249</t>
  </si>
  <si>
    <t>HOA plaintiff / pending federal putative class action</t>
  </si>
  <si>
    <t>Riva on the River Homeowners Association; The Management Association, Inc. dba The Management Trust</t>
  </si>
  <si>
    <t>Management company / association banking / client deposits</t>
  </si>
  <si>
    <t>BANKING — alleged undisclosed cash payments tied to placement of HOA client funds / earnings-credit programs</t>
  </si>
  <si>
    <t>Riva filed a federal fraud/fiduciary-duty action against The Management Trust. Later class-certification materials characterize the disputed banking programs as cash payments to management companies tied to depositing client funds; the litigation seeks class treatment for similarly situated association clients.</t>
  </si>
  <si>
    <t>Plaintiff materials allege more than $33M in payments during class period beginning in 2012</t>
  </si>
  <si>
    <t>Pending federal lawsuit / court docket and class-certification-stage filings</t>
  </si>
  <si>
    <t>U.S. District Court, Eastern District of California / GovInfo</t>
  </si>
  <si>
    <t>Riva on the River Homeowners Association v. The Management Association, Inc. dba The Management Trust</t>
  </si>
  <si>
    <t>Highest-priority banking / earnings-credit litigation</t>
  </si>
  <si>
    <t>Pending litigation. Allegations and expert characterizations have not been finally adjudicated. Defendant has answered the complaint. Inclusion documents the alleged banking-compensation mechanism and scale asserted in court filings, not liability.</t>
  </si>
  <si>
    <t>Banking</t>
  </si>
  <si>
    <t>E265</t>
  </si>
  <si>
    <t>Homeowner class action / settlement</t>
  </si>
  <si>
    <t>Maryland</t>
  </si>
  <si>
    <t>Birks et al.; Small Community Specialists LLC; Associations, Inc. (Associa); Select Community Services; HOAM Ventures; TownSq</t>
  </si>
  <si>
    <t>National management company / local affiliate / affiliated or formerly owned payment platform</t>
  </si>
  <si>
    <t>FEES / PAYMENT PLATFORM — convenience-fee allegations and $600,000 class settlement</t>
  </si>
  <si>
    <t>A Maryland class action alleged Associa, Select Community Services and HOAM Ventures charged homeowners a $2.95 convenience fee when collecting HOA or condominium dues through TownSq and characterized the fees as an unlawful profit center rather than pass-through processing costs. The defendants later agreed to a $600,000 settlement covering qualifying fees paid from February 14, 2020 through July 3, 2024.</t>
  </si>
  <si>
    <t>$600,000 settlement; $2.95 convenience fee at issue</t>
  </si>
  <si>
    <t>Federal class-action lawsuit / settlement</t>
  </si>
  <si>
    <t>ClassAction.org / settlement administrator reporting</t>
  </si>
  <si>
    <t>Birks et al. v. Small Community Specialists, L.L.C., et al. — Maryland TownSq convenience-fee settlement</t>
  </si>
  <si>
    <t>High-priority large-company fee/platform case; settlement without admission of wrongdoing</t>
  </si>
  <si>
    <t>Settlement does not establish liability or an admission of wrongdoing. Complaint alleged violations of Maryland consumer/debt-collection law. Reporting states Associa owned TownSq until its 2022 sale to HOAM Ventures and that the relevant convenience-fee class period ran 2020-2024.</t>
  </si>
  <si>
    <t>Fees / Payment Platforms</t>
  </si>
  <si>
    <t>E271</t>
  </si>
  <si>
    <t>Condominium sellers / class-action lawsuit</t>
  </si>
  <si>
    <t>Illinois</t>
  </si>
  <si>
    <t>Katherine M. Atkins; Zane Fulton; RealManage LLC dba American Community Management; NextLevel Association Solutions Inc. dba HomeWiseDocs</t>
  </si>
  <si>
    <t>Management company / resale-document platform / condominium sellers</t>
  </si>
  <si>
    <t>FEES / PAYMENT PLATFORM — allegedly excessive mandatory resale-document charges</t>
  </si>
  <si>
    <t>Condominium sellers filed a putative class action alleging RealManage/American Community Management and HomeWiseDocs charged excessive fees for documents sellers were required to obtain for condominium sales. The named plaintiffs alleged they each had to pay $491 for disclosure/document packages and argued the required-document process had been turned into a revenue source.</t>
  </si>
  <si>
    <t>$491 alleged fee for each named plaintiff; broader class amount not quantified</t>
  </si>
  <si>
    <t>Putative class-action lawsuit / federal docket after removal</t>
  </si>
  <si>
    <t>U.S. District Court, Northern District of Illinois / contemporaneous court reporting</t>
  </si>
  <si>
    <t>Atkins et al. v. NextLevel Association Solutions, Inc. et al.</t>
  </si>
  <si>
    <t>High-priority management/platform fee litigation; LARGE MANAGEMENT COMPANY</t>
  </si>
  <si>
    <t>Allegations are not findings of wrongdoing. The federal case was stayed in 2022 pending the Illinois Supreme Court's decision in Channon v. Westward Management. This is a distinct underlying case from Channon because it involves different sellers, a different management company and HomeWiseDocs.</t>
  </si>
  <si>
    <t>E272</t>
  </si>
  <si>
    <t>Consumers / collection-fee class action settlement</t>
  </si>
  <si>
    <t>Nevada</t>
  </si>
  <si>
    <t>Michael Schmidt; Adria Schmidt; James McFarlane; Red Rock Financial Services LLC; FirstService Residential Nevada LLC f/k/a RMI Management LLC</t>
  </si>
  <si>
    <t>Management-affiliated HOA collections company / delinquent assessment collection</t>
  </si>
  <si>
    <t>COLLECTIONS / FEES — class settlement over HOA collection letters</t>
  </si>
  <si>
    <t>A federal class action against Red Rock Financial Services resulted in a court-approved settlement covering Nevada consumers sent specified Red Rock collection letters beginning October 11, 2011. The final judgment expressly released claims involving Red Rock and affiliated entities including FirstService Residential Nevada, formerly RMI Management. The court entered final judgment approving the settlement and ordered Red Rock to pay class counsel's fees and costs.</t>
  </si>
  <si>
    <t>$55,345 court-ordered plaintiffs' attorney fees; consumer settlement terms governed by settlement agreement</t>
  </si>
  <si>
    <t>Federal class-action settlement / final judgment</t>
  </si>
  <si>
    <t>U.S. District Court, District of Nevada</t>
  </si>
  <si>
    <t>Schmidt et al. v. Red Rock Financial Services, LLC</t>
  </si>
  <si>
    <t>High-priority management-affiliated collections litigation; LARGE MANAGEMENT COMPANY ecosystem</t>
  </si>
  <si>
    <t>Settlement is not an admission of liability. Final judgment approved the settlement and dismissed the released claims with prejudice under the agreement. The court document expressly identifies FirstService Residential Nevada among the released affiliated entities. Treat as one collections incident, not as separate FirstService and Red Rock rows.</t>
  </si>
  <si>
    <t>Collections / Fees / Foreclosure Ecosystem</t>
  </si>
  <si>
    <t>E275</t>
  </si>
  <si>
    <t>Condominium sellers / class-action litigation and state supreme-court decision</t>
  </si>
  <si>
    <t>Harry Channon; Dawn Channon; Westward Management Inc.; Kenmore Club Condominium Association</t>
  </si>
  <si>
    <t>Property management company acting as condominium association agent / resale disclosures</t>
  </si>
  <si>
    <t>FEES — excessive resale-document charges alleged against property manager</t>
  </si>
  <si>
    <t>Condominium sellers brought a class action alleging Westward Management charged excessive and unreasonable fees for documents and information they were legally required to provide prospective buyers. The Illinois Supreme Court ultimately held that the condominium statute did not create an implied private right of action against the property manager for the alleged excessive charges, reversing the lower courts on that statutory question.</t>
  </si>
  <si>
    <t>Exact challenged fee amount not stated in the Supreme Court summary reviewed</t>
  </si>
  <si>
    <t>Class-action allegations / Illinois Supreme Court decision on legal remedy</t>
  </si>
  <si>
    <t>Supreme Court of Illinois</t>
  </si>
  <si>
    <t>Channon v. Westward Management, Inc., 2022 IL 128040</t>
  </si>
  <si>
    <t>High-priority fee-mechanism litigation; distinct management company</t>
  </si>
  <si>
    <t>The Illinois Supreme Court did not determine that the alleged fees were reasonable or that the conduct did not occur; it held that section 22.1 of the Condominium Property Act did not provide the sellers an implied private cause of action against the manager. Keep separate from Atkins/RealManage because it is a different underlying management company, association and plaintiff group.</t>
  </si>
  <si>
    <t>Fees / Resale Documents</t>
  </si>
  <si>
    <t>E276</t>
  </si>
  <si>
    <t>Condo sellers / proposed class action</t>
  </si>
  <si>
    <t>Keith Horist; Joshua and Lori Eyman; Sudler &amp; Company; HomeWiseDocs; 400 East Ohio Association; Prairie House Association</t>
  </si>
  <si>
    <t>Property management company / resale-document platform / condominium sellers</t>
  </si>
  <si>
    <t>FEES / ALLEGED KICKBACK — resale-document fees allegedly shared back with management company</t>
  </si>
  <si>
    <t>Condominium sellers alleged Sudler directed owners needing legally required resale disclosures to HomeWiseDocs, which charged $240 to one seller and $365 to another. The complaint alleged HomeWise retained a small 'click fee' and kicked the balance back to Sudler, while the associations indirectly benefited through reduced management charges. Federal courts dismissed the statutory and common-law claims.</t>
  </si>
  <si>
    <t>$240 and $365 charged to named sellers; alleged kickback/share amount not separately quantified</t>
  </si>
  <si>
    <t>Federal proposed class action / dismissal affirmed on appeal</t>
  </si>
  <si>
    <t>U.S. Court of Appeals for the Seventh Circuit / Justia</t>
  </si>
  <si>
    <t>Horist v. Sudler &amp; Co., 941 F.3d 274 (7th Cir. 2019)</t>
  </si>
  <si>
    <t>High-priority fee/kickback allegation involving management + platform</t>
  </si>
  <si>
    <t>The courts dismissed the claims; no kickback or fiduciary breach was adjudicated as proven. Included because the filed complaint specifically alleged a fee-sharing mechanism between the document platform and management company. Distinct from Channon/Westward and Atkins/RealManage.</t>
  </si>
  <si>
    <t>E278</t>
  </si>
  <si>
    <t>Homeowner / Government Testimony</t>
  </si>
  <si>
    <t>Homeowner testimony to Minnesota Senate committee</t>
  </si>
  <si>
    <t>Minnesota</t>
  </si>
  <si>
    <t>CloverLeaf Townhouse Association; Cedar Management; AllStar Construction and Maintenance; other management-selected vendors</t>
  </si>
  <si>
    <t>Property management company / management-selected vendors / association reserves and projects</t>
  </si>
  <si>
    <t>PROCUREMENT / BAD PRACTICE — homeowner alleges required management vendors, substandard work, repeated replacement costs and suspected kickbacks</t>
  </si>
  <si>
    <t>In written testimony submitted to a Minnesota Senate committee, CloverLeaf homeowner Lisa Bartel identified Cedar Management by name and alleged management required use of its contractor for a multi-year deck project, failed to oversee vendors, and presided over defective driveway, lawn and roofing work. She stated the association had spent more than $800,000 over six years on work that had problems or would need replacement and questioned whether management's insistence on long-standing vendors involved kickbacks or personal benefits.</t>
  </si>
  <si>
    <t>More than $800,000 reportedly spent over six years; homeowner also reported thousands in personal damage and a conciliation-court win</t>
  </si>
  <si>
    <t>First-person homeowner testimony filed with state legislature / reported conciliation-court result</t>
  </si>
  <si>
    <t>Minnesota Legislative Reference Library</t>
  </si>
  <si>
    <t>Lisa Bartel testimony regarding SF1063, April 1, 2025</t>
  </si>
  <si>
    <t>High-value named management/vendor complaint in official legislative record</t>
  </si>
  <si>
    <t>The kickback question is expressly the homeowner's suspicion, not a finding. The testimony itself documents her allegations about required vendors, project defects, management oversight and spending. It states she prevailed in conciliation court on her individual damage issue but does not provide the judgment.</t>
  </si>
  <si>
    <t>E284</t>
  </si>
  <si>
    <t>Consumer class-action investigation / reported seller complaints</t>
  </si>
  <si>
    <t>RealManage LLC; RealManage partners/affiliates; California HOA sellers</t>
  </si>
  <si>
    <t>Large management company / resale-document delivery and fees</t>
  </si>
  <si>
    <t>FEES / PAYMENT PLATFORM — law firm investigating alleged resale-document costs up to three times market rate</t>
  </si>
  <si>
    <t>A consumer class-action law firm announced an investigation after reports that RealManage and partners may be charging inflated fees for HOA resale documents in California. The firm states reports suggest the underlying document cost was increased to roughly three times the going market rate and that RealManage then passed that cost, plus additional RealManage fees, to sellers. The investigation seeks sellers from 2021 through 2025 who can document payments.</t>
  </si>
  <si>
    <t>Alleged document cost roughly three times market rate; potentially tens of thousands of sellers referenced, no aggregate amount established</t>
  </si>
  <si>
    <t>Law-firm class-action investigation / reported consumer complaints</t>
  </si>
  <si>
    <t>Ahdoot &amp; Wolfson, PC</t>
  </si>
  <si>
    <t>RealManage, LLC Illegal Resale Documents and Disclosures Fees – Class Action Investigation</t>
  </si>
  <si>
    <t>Complaint/investigation-level large-company resale-fee mechanism</t>
  </si>
  <si>
    <t>This is an investigation, not a filed California class judgment or finding. It is separate from the Illinois Atkins case because this source concerns California sellers and alleged 2021-2025 California fee practices, but later prevalence analysis should recognize the shared broader resale-document mechanism involving RealManage.</t>
  </si>
  <si>
    <t>E287</t>
  </si>
  <si>
    <t>HOA + property-management company / DOJ Fair Housing settlement</t>
  </si>
  <si>
    <t>Townhomes of Kings Lake HOA Inc.; Vanguard Management Group Inc.; affected families</t>
  </si>
  <si>
    <t>HOA / contracted property-management company / lease approval and enforcement</t>
  </si>
  <si>
    <t>GOVERNANCE / MANAGEMENT PRACTICES — management company jointly accused of discriminatory occupancy enforcement</t>
  </si>
  <si>
    <t>DOJ sued Townhomes of Kings Lake HOA and Vanguard Management Group alleging that the HOA adopted and both defendants enforced occupancy standards that unlawfully limited families with children. Vanguard served as property manager and, according to the complaint, handled functions including lease-application review, owner and tenant communications, and assessment/rule enforcement. The defendants agreed to a 2013 settlement.</t>
  </si>
  <si>
    <t>$150,000 total settlement: reported $45,000 to named aggrieved persons, $85,000 victim fund and $20,000 civil penalties</t>
  </si>
  <si>
    <t>DOJ Fair Housing lawsuit / settlement</t>
  </si>
  <si>
    <t>U.S. Department of Justice</t>
  </si>
  <si>
    <t>Justice Department Reaches Settlement with Homeowners Association and Property Management Company</t>
  </si>
  <si>
    <t>High-priority management-company defendant / enforcement-control case</t>
  </si>
  <si>
    <t>Settlement does not establish criminal guilt. Included because Vanguard was a direct defendant and DOJ alleged the property manager participated in enforcing the challenged occupancy policy. Conduct precedes the 2012 complaint; exact beginning year is not stated in the release.</t>
  </si>
  <si>
    <t>Governance / Management Bad Practices</t>
  </si>
  <si>
    <t>E288</t>
  </si>
  <si>
    <t>HOA counsel / anonymized board-management transition dispute</t>
  </si>
  <si>
    <t>United States / location not identified</t>
  </si>
  <si>
    <t>Unnamed HOA; terminated unnamed property-management company; successor management company</t>
  </si>
  <si>
    <t>Outgoing management company / association banking and financial records / transition control</t>
  </si>
  <si>
    <t>CONTROL / RECORDS — terminated manager withholds HOA financial and banking records pending disputed payment</t>
  </si>
  <si>
    <t>HOA counsel described a real management-company transition in which an outgoing property manager refused to transfer the association's financial and banking records to the new manager until the HOA paid a disputed amount. Counsel said the management contract required records to be transferred upon termination and treated the withholding as a significant operational and fiduciary-risk issue for the board.</t>
  </si>
  <si>
    <t>Disputed payment amount not identified</t>
  </si>
  <si>
    <t>Industry-attorney case study / firsthand representation account</t>
  </si>
  <si>
    <t>McGrath North</t>
  </si>
  <si>
    <t>When a Terminated Property Manager Refuses to Transfer HOA Records: Solutions for Boards in Disputes</t>
  </si>
  <si>
    <t>High-value anonymized management-control mechanism</t>
  </si>
  <si>
    <t>The parties and jurisdiction are anonymized and the article does not report a court judgment. Included as an industry-professional account of an actual dispute showing how control of banking and financial records can become leverage when an HOA changes management companies.</t>
  </si>
  <si>
    <t>Control / Records / Management Transition</t>
  </si>
  <si>
    <t>E289</t>
  </si>
  <si>
    <t>Industry Professional / Court Record</t>
  </si>
  <si>
    <t>HOA / receiver / developer-declarant litigation</t>
  </si>
  <si>
    <t>Oregon</t>
  </si>
  <si>
    <t>Meritage Homeowners Association; Kurt Freitag; Big Fish Partners; PSRG Trust</t>
  </si>
  <si>
    <t>Developer/declarant / developer-controlled HOA / related trust / association assets</t>
  </si>
  <si>
    <t>DEVELOPER CONTROL + FINANCING — declarant retained HOA control for years after mandatory turnover and entered self-dealing loans</t>
  </si>
  <si>
    <t>Federal court records state mandatory turnover of Meritage to homeowners was triggered on June 5, 2004, yet developer/declarant Kurt Freitag retained administrative control until 2018. During that period, Freitag caused the HOA to enter purported loans at 7% interest with PSRG Trust, a trust for which he was grantor, trustee and beneficiary, and caused deeds of trust to be placed on HOA-owned units. The court described a considerable course of poorly documented self-dealing, found the loans lacked reliable support, and held the deeds of trust void.</t>
  </si>
  <si>
    <t>Purported $1,000,000 HOA loans; PSRG Trust asserted $1.125M claim; deeds of trust voided</t>
  </si>
  <si>
    <t>Federal court findings / receivership / deeds of trust voided</t>
  </si>
  <si>
    <t>U.S. District Court, District of Oregon / Justia</t>
  </si>
  <si>
    <t>Meritage Homeowners' Association v. Bank of New York Mellon et al., No. 6:16-cv-00300</t>
  </si>
  <si>
    <t>Highest-priority developer-control + financing + self-dealing case</t>
  </si>
  <si>
    <t>Court found Freitag lacked authority to control Meritage after June 5, 2004, described self-dealing, rejected PSRG Trust's claim for money allegedly advanced to Meritage, and declared deeds of trust void. This is a direct court finding, not merely homeowner suspicion.</t>
  </si>
  <si>
    <t>Developer / Declarant Control &amp; Financial Structure</t>
  </si>
  <si>
    <t>E290</t>
  </si>
  <si>
    <t>Successor developer / HOA loan litigation</t>
  </si>
  <si>
    <t>West Virginia</t>
  </si>
  <si>
    <t>Glade Springs Village Property Owners Association; Cooper Land Development; Justice Holdings LLC</t>
  </si>
  <si>
    <t>Developer-controlled board / developer loan / association utilities and assessments</t>
  </si>
  <si>
    <t>DEVELOPER CONTROL + DEBT — declarant-controlled board entered and repeatedly extended large developer loan later challenged after owner turnover</t>
  </si>
  <si>
    <t>The developer entered a revolving Utilities Loan with the association to fund water, wastewater and electric systems while the board was declarant-controlled. The loan grew from up to $8 million to $15 million and was repeatedly extended while successive developers controlled the board. After owners elected their own board in 2019, Justice Holdings sued for about $11.4 million. The owner-elected board terminated the loan under West Virginia law governing declarant-controlled contracts, and the state supreme court held the termination valid prospectively.</t>
  </si>
  <si>
    <t>$15M maximum loan; about $11.4M claimed due when developer sued HOA</t>
  </si>
  <si>
    <t>State supreme court decision / developer loan terminated after homeowner turnover</t>
  </si>
  <si>
    <t>Supreme Court of Appeals of West Virginia / Justia</t>
  </si>
  <si>
    <t>Justice Holdings, LLC v. Glade Springs Village Property Owners Association</t>
  </si>
  <si>
    <t>Highest-priority developer-control + association-debt case</t>
  </si>
  <si>
    <t>Court held the owner-elected board could terminate the declarant-era loan prospectively under state law. The opinion expressly says the statute targets the type of continuing developer control that can persist through contracts even after board control changes.</t>
  </si>
  <si>
    <t>E291</t>
  </si>
  <si>
    <t>HOA versus developer/builder</t>
  </si>
  <si>
    <t>Indiana</t>
  </si>
  <si>
    <t>Village Pines at the Pines of Greenwood HOA; Pines of Greenwood LLC; Arbor Homes LLC</t>
  </si>
  <si>
    <t>Developer/builder / declarant-controlled HOA / assessments and reserve funding</t>
  </si>
  <si>
    <t>DEVELOPER CONTROL + ASSESSMENTS — developer amended covenants to remove its own assessment obligations; homeowners carried higher costs</t>
  </si>
  <si>
    <t>The HOA sued after the developer and builder had not paid annual assessments on unsold lots from 2000 through 2009 and the developer had recorded an amendment removing itself and the builder from the definition of owners for assessment purposes without the homeowner vote required for a substantive amendment. The Indiana Court of Appeals held the amendment increased homeowners' obligations and that the developer/builder breached the covenants. On remand, the HOA was awarded more than $1 million in assessments, late fees, interest and legal costs.</t>
  </si>
  <si>
    <t>Damages exceeded $1M; 2020 opinion lists $225,524.50 assessments, $148,275 late fees, $626,110 interest and $87,683.01 fees/costs</t>
  </si>
  <si>
    <t>Appellate finding of breach / damages award</t>
  </si>
  <si>
    <t>Indiana Court of Appeals / Justia</t>
  </si>
  <si>
    <t>Pines of Greenwood, LLC and Arbor Homes, LLC v. Village Pines at the Pines of Greenwood HOA</t>
  </si>
  <si>
    <t>Highest-priority developer assessment-shifting case</t>
  </si>
  <si>
    <t>Developer/builder liability was adjudicated. The court record also notes reserve-fund transfers during declarant control, but the trial court found no evidence tying defendants to those transfers; this record therefore focuses on the proven assessment/covenant issue.</t>
  </si>
  <si>
    <t>E292</t>
  </si>
  <si>
    <t>Homeowners and HOA versus developer and affiliates</t>
  </si>
  <si>
    <t>South Carolina</t>
  </si>
  <si>
    <t>I'On Company LLC; I'On Club LLC; I'On Group LLC; I'On Assembly HOA; homeowners</t>
  </si>
  <si>
    <t>Developer and affiliated entities / HOA board veto power / community amenities</t>
  </si>
  <si>
    <t>DEVELOPER CONTROL + SELF-DEALING — promised community property withheld/sold while developer retained veto power over HOA</t>
  </si>
  <si>
    <t>Homeowners and the HOA sued developers and affiliates over promises concerning community property and amenities, including a dock and boat ramp. The South Carolina Supreme Court reinstated jury verdicts and held the developers breached fiduciary duties, citing continuing veto authority over the HOA board, delayed transfer of disputed property, easements to third parties and self-dealing in the 2009 sale of property that homeowners had been told would be conveyed to the association.</t>
  </si>
  <si>
    <t>$1.75M HOA breach-of-fiduciary-duty verdict reinstated; additional individual verdicts</t>
  </si>
  <si>
    <t>Jury verdict / state supreme court reinstatement and fiduciary-duty holding</t>
  </si>
  <si>
    <t>South Carolina Supreme Court / Justia</t>
  </si>
  <si>
    <t>Walbeck et al. v. The I'On Company, 2023</t>
  </si>
  <si>
    <t>Highest-priority developer fiduciary/self-dealing case</t>
  </si>
  <si>
    <t>This is an adjudicated fiduciary-duty finding, not merely allegations. The operative jury notice date was August 5, 2009, when the disputed property was sold.</t>
  </si>
  <si>
    <t>E293</t>
  </si>
  <si>
    <t>HOA versus developers</t>
  </si>
  <si>
    <t>Market Lofts Community Association; 9th Street Market Lofts LLC; CIM entities; developer-appointed board representatives</t>
  </si>
  <si>
    <t>Developer-controlled board / developer affiliates / mandatory parking sub-license</t>
  </si>
  <si>
    <t>DEVELOPER CONTROL + RELATED-PARTY CONTRACT — developer board allegedly converted no-cost parking rights into long-term per-space fees</t>
  </si>
  <si>
    <t>The original parking license gave the future HOA perpetual, irrevocable parking rights at no cost other than common-area maintenance. While developer representatives comprised a controlling majority of the HOA board, the HOA entered a sub-license requiring payment to the developer of $75 per parking space per month, increasing 5% annually, with additional market adjustments and late fees. After homeowner turnover, the HOA alleged self-dealing, concealment, breach of fiduciary duty and more than $1 million in parking fees. The Court of Appeal reversed dismissal on standing and allowed the HOA to pursue the claims.</t>
  </si>
  <si>
    <t>HOA alleged more than $1M paid; $75 per space per month with 5% annual increases</t>
  </si>
  <si>
    <t>Appellate decision allowing HOA claims to proceed / self-dealing allegations not finally adjudicated in this opinion</t>
  </si>
  <si>
    <t>California Court of Appeal / FindLaw</t>
  </si>
  <si>
    <t>Market Lofts Community Association v. 9th Street Market Lofts LLC</t>
  </si>
  <si>
    <t>Highest-priority developer-created long-term financial-obligation case</t>
  </si>
  <si>
    <t>The appellate court decided standing and pleading issues, not ultimate liability. Self-dealing, concealment and illegality remained allegations at that stage. The importance is the developer-controlled board creating a long-duration financial obligation benefiting the developer before homeowner control.</t>
  </si>
  <si>
    <t>E294</t>
  </si>
  <si>
    <t>HOA construction-defect suit / developer-imposed litigation restriction</t>
  </si>
  <si>
    <t>Smart Corner Owners Association; CJUF Smart Corner LLC; related developers</t>
  </si>
  <si>
    <t>Developer-drafted CC&amp;Rs / HOA litigation rights / owner-vote requirement</t>
  </si>
  <si>
    <t>DEVELOPER CONTROL / LITIGATION BARRIER — CC&amp;R provision required majority-owner vote before HOA could sue developer</t>
  </si>
  <si>
    <t>Smart Corner HOA filed a construction-defect action against its developers, but the trial court granted the developers summary judgment because the developer-drafted CC&amp;Rs required consent of more than 50% of condominium owners before the HOA could sue. While the appeal was pending, California enacted Civil Code section 5986 making prelitigation member-vote requirements of this type null and void and expressly applying the change retroactively to unresolved claims. The Court of Appeal reversed the judgment for the developers.</t>
  </si>
  <si>
    <t>No damages amount central to this appellate decision</t>
  </si>
  <si>
    <t>Trial dismissal reversed after legislation invalidated prelitigation owner-vote barriers</t>
  </si>
  <si>
    <t>California Court of Appeal / Justia</t>
  </si>
  <si>
    <t>Smart Corner Owners Association v. CJUF Smart Corner LLC</t>
  </si>
  <si>
    <t>High-priority developer-control / access-to-justice mechanism</t>
  </si>
  <si>
    <t>Underlying suit involved construction defects, but this record is included for the separate governance mechanism: a developer-imposed CC&amp;R provision restricting the HOA's ability to bring claims against the developer. California subsequently nullified such prelitigation vote requirements.</t>
  </si>
  <si>
    <t>E295</t>
  </si>
  <si>
    <t>HOA versus developer-affiliated telecom provider</t>
  </si>
  <si>
    <t>Virginia</t>
  </si>
  <si>
    <t>Lansdowne on the Potomac HOA; Lansdowne Community Development LLC; M.C. Dean Inc.; OpenBand affiliates</t>
  </si>
  <si>
    <t>Developer-controlled HOA / developer affiliate / exclusive telecommunications provider</t>
  </si>
  <si>
    <t>DEVELOPER CONTROL + EXCLUSIVE TELECOM — developer-controlled HOA entered exclusive telecom arrangement with affiliated provider</t>
  </si>
  <si>
    <t>While Lansdowne HOA was controlled by the developer, the developer and HOA entered telecommunications agreements and granted an exclusive easement to OpenBand, an entity in which the developer initially held an interest. The arrangement made OpenBand the exclusive provider of wireline/video telecommunications services to the community. After homeowner control, the HOA challenged the exclusivity. The federal court held the FCC exclusivity rule prohibited OpenBand from acting as the exclusive video-programming provider and enjoined enforcement of the exclusive provisions.</t>
  </si>
  <si>
    <t>Community contained 2,155 homes; service pricing not central to the 2012 injunction opinion</t>
  </si>
  <si>
    <t>Federal summary-judgment ruling / injunction against exclusive video-provider provisions</t>
  </si>
  <si>
    <t>U.S. District Court, Eastern District of Virginia</t>
  </si>
  <si>
    <t>Lansdowne on the Potomac Homeowners Association, Inc. v. OpenBand at Lansdowne LLC et al.</t>
  </si>
  <si>
    <t>Highest-priority developer-created exclusive telecom case</t>
  </si>
  <si>
    <t>Court ruling is specific to exclusive video-programming provisions under federal communications law. The developer entities were voluntarily dismissed before the 2012 ruling, so do not characterize the injunction as a liability judgment against the developer itself. The historical mechanism is documented: developer-controlled HOA + developer interest in provider + exclusive easement/service structure.</t>
  </si>
  <si>
    <t>E296</t>
  </si>
  <si>
    <t>Condo association / affiliated developer telecom litigation</t>
  </si>
  <si>
    <t>Palms of Destin Resort Condominium Association; Development Company; Becnel/Kelly Club; Communications Processing Systems Inc. (CPS)</t>
  </si>
  <si>
    <t>Developer and affiliated club/provider / condominium association / exclusive telecommunications</t>
  </si>
  <si>
    <t>DEVELOPER CONTROL + AFFILIATED TELECOM — declarations/easements preserved exclusive provider rights benefiting developer affiliates</t>
  </si>
  <si>
    <t>Court records describe a structure in which the developer reserved perpetual telecommunications easements and rights to enter exclusive service contracts. An affiliated club entered a 2007 agreement with another developer affiliate, CPS, charging each unit $75 per month. The association sued in 2015 alleging the developer had structured the declarations and affiliated operations to preserve exclusive telecom access. The 2015 federal and state cases settled and were dismissed with prejudice in 2016. A later suit challenging the continued exclusivity was barred by res judicata.</t>
  </si>
  <si>
    <t>$75 per unit per month under 2007 service agreement; later settlement contemplated payments through 2021 and beyond</t>
  </si>
  <si>
    <t>Federal/state litigation settlement; later Eleventh Circuit held renewed challenge barred by res judicata</t>
  </si>
  <si>
    <t>U.S. Court of Appeals for the Eleventh Circuit</t>
  </si>
  <si>
    <t>The Palms of Destin Club, LLC v. Communications Processing Systems Inc.</t>
  </si>
  <si>
    <t>Highest-priority developer-affiliate recurring telecom case</t>
  </si>
  <si>
    <t>The original anticompetition allegations settled; no liability finding on those allegations. The later 2022 appellate outcome turned on res judicata, not a determination that exclusivity was lawful on the merits. Keep as one underlying developer-affiliated telecom structure, not separate rows for the 2015 and 2020 suits.</t>
  </si>
  <si>
    <t>E297</t>
  </si>
  <si>
    <t>Homeowners versus developer</t>
  </si>
  <si>
    <t>Tennessee</t>
  </si>
  <si>
    <t>Eagle Creek Estates homeowners; Raymond A. Conn; developer-controlled subdivision phases</t>
  </si>
  <si>
    <t>Developer/declarant / delayed homeowner control / covenant enforcement</t>
  </si>
  <si>
    <t>DEVELOPER CONTROL — developer failed to timely turn over HOA control yet continued attempting to enforce covenants</t>
  </si>
  <si>
    <t>Homeowners challenged a developer who had not timely turned over control of the HOA for Phase I. The Tennessee Court of Appeals affirmed summary judgment for the homeowners, holding that the developer had a duty to create and turn over control to an HOA after a reasonable period and had breached that duty. Because of the failure to turn over control, the developer could no longer enforce the Phase I covenants and restrictions as developer.</t>
  </si>
  <si>
    <t>No central monetary award in appellate decision</t>
  </si>
  <si>
    <t>State appellate finding / summary judgment for homeowners</t>
  </si>
  <si>
    <t>Tennessee Court of Appeals</t>
  </si>
  <si>
    <t>Raymond A. Conn v. William M. Donlon et al.</t>
  </si>
  <si>
    <t>Highest-priority delayed-turnover control case</t>
  </si>
  <si>
    <t>Adjudicated holding on failure to timely turn over control. This is a governance/control record rather than a direct financial-extraction case.</t>
  </si>
  <si>
    <t>E298</t>
  </si>
  <si>
    <t>HOA versus developer</t>
  </si>
  <si>
    <t>North Carolina</t>
  </si>
  <si>
    <t>Mystic Lands Property Owners Association; Mystic Lands Inc.; Ami Shinitzky</t>
  </si>
  <si>
    <t>Developer/declarant / HOA president / community infrastructure obligations</t>
  </si>
  <si>
    <t>DEVELOPER CONTROL + DISCLOSURE — developer continued asserting control after control period expired; owners also enforced promised road paving</t>
  </si>
  <si>
    <t>The North Carolina Court of Appeals found declarant control over portions of Mystic Lands had expired by 2008 and that the developer neither disclosed nor recognized the loss of control. The court also found no evidence owners knowingly approved a later extension of declarant control when voting to combine associations. It held owners were entitled to an injunction preventing further declarant control. Separately, it affirmed a breach-of-contract ruling and specific performance requiring the developer to fulfill promised road-paving obligations.</t>
  </si>
  <si>
    <t>Road-paving performance ordered; no single damages figure central to appellate opinion</t>
  </si>
  <si>
    <t>State appellate ruling / injunction against further declarant control / specific performance affirmed</t>
  </si>
  <si>
    <t>North Carolina Court of Appeals</t>
  </si>
  <si>
    <t>Anderson v. Mystic Lands, Inc.</t>
  </si>
  <si>
    <t>Highest-priority developer-control + disclosure + infrastructure case</t>
  </si>
  <si>
    <t>Court held declarant control had expired and enjoined further exercise of that control. This record combines that governance finding with a separately adjudicated developer obligation to pave roads; it should remain one underlying community/developer dispute.</t>
  </si>
  <si>
    <t>E299</t>
  </si>
  <si>
    <t>Timberlake Homeowners Association; Timberlake Development LLC; developer affiliate</t>
  </si>
  <si>
    <t>Developer/declarant / architectural-review authority / unilateral waiver rights</t>
  </si>
  <si>
    <t>DEVELOPER CONTROL — developer retained carve-out allowing its own remaining lots to avoid HOA review after partial transfer of authority</t>
  </si>
  <si>
    <t>The developer created the HOA and reserved exclusive authority to appoint an architectural/review board, along with broad power to amend or waive the declaration. In 2020 the developer transferred review-board appointment rights to the HOA but expressly excluded lots still owned by the developer or its affiliate, then waived its own obligation to submit those lots to review. The HOA sued seeking to invalidate the waiver. The trial court interpreted the documents as permitting the developer's retained authority; on appeal, dismissal was vacated procedurally but the appellate court affirmed the declared rights reflected in the documents.</t>
  </si>
  <si>
    <t>No monetary amount central to dispute</t>
  </si>
  <si>
    <t>Declaratory-judgment litigation / trial interpretation largely preserved; dismissal vacated and case remanded</t>
  </si>
  <si>
    <t>Timberlake Homeowners Association, Inc. v. Timberlake Development, LLC et al.</t>
  </si>
  <si>
    <t>High-value developer-control / unequal-rule structure</t>
  </si>
  <si>
    <t>This case does not establish developer wrongdoing. It documents a developer-created governance structure that allowed retained developer/affiliate lots to remain outside review after authority was otherwise transferred to homeowners. Outcome is mixed/procedural and must not be described as a homeowner win on the merits.</t>
  </si>
  <si>
    <t>E300</t>
  </si>
  <si>
    <t>Homeowner/board member versus declarant</t>
  </si>
  <si>
    <t>Michael Frisbey; Salem Pointe Capital LLC; Rarity Bay HOA; social club</t>
  </si>
  <si>
    <t>Declarant / HOA bylaws / board-member removal / club-control leverage</t>
  </si>
  <si>
    <t>DEVELOPER CONTROL — declarant amended bylaws to claim unilateral power to remove homeowner-elected HOA directors</t>
  </si>
  <si>
    <t>A homeowner and elected HOA director challenged Salem Pointe Capital after the declarant used amended bylaws to remove him from the HOA board and suspend club privileges. The Tennessee Court of Appeals held that although the declarant retained authority to amend bylaws generally, it could not create a rule contrary to mandatory state nonprofit law. The provision allowing Salem to unilaterally remove elected board members was invalid, and the homeowner was reinstated. The trial court had separately found no fiduciary-duty violation.</t>
  </si>
  <si>
    <t>No central damages award; relief was reinstatement and invalidation of removal provision</t>
  </si>
  <si>
    <t>State appellate ruling / developer-control provision invalidated; fiduciary-duty claim dismissed</t>
  </si>
  <si>
    <t>Michael Frisbey et al. v. Salem Pointe Capital, LLC et al.</t>
  </si>
  <si>
    <t>Highest-priority modern declarant board-control case</t>
  </si>
  <si>
    <t>Court invalidated the unilateral director-removal provision as contrary to mandatory state law, but expressly did not hold that the declarant lacked all bylaw-amendment power. The fiduciary-duty claim was dismissed. This is a control mechanism, not a financial-fraud finding.</t>
  </si>
  <si>
    <t>E301</t>
  </si>
  <si>
    <t>HOA / club boards versus developer and successor declarant</t>
  </si>
  <si>
    <t>Oldfield Community Association; Oldfield Club; TI Oldfield Development LLC; BEP Oldfield LLC; Bald Eagle Partners</t>
  </si>
  <si>
    <t>Developer/declarant / successor declarant / HOA and club boards / dues structure</t>
  </si>
  <si>
    <t>DEVELOPER CONTROL + DUES SHIFTING — declarant rights transferred with dues exemption, alleged shortfall passed to members</t>
  </si>
  <si>
    <t>Oldfield litigation alleged that TI Oldfield transferred lots and certain declarant rights to BEP Oldfield while also exempting BEP from Club dues. A resident alleged this contributed to a roughly $2.5 million shortfall that was passed to members through about a 10% assessment increase. The Association and Club boards brought their own suits and later settled, receiving all sponsor/declarant rights, the Greeters Store, and a $1.25 million payment to the Association.</t>
  </si>
  <si>
    <t>Approx. $2.5M alleged shortfall; about 10% member assessment increase; $1.25M settlement payment to Association</t>
  </si>
  <si>
    <t>Board litigation / settlement; derivative resident claims dismissed or rendered moot</t>
  </si>
  <si>
    <t>U.S. Court of Appeals for the Fourth Circuit / Justia</t>
  </si>
  <si>
    <t>Star v. TI Oldfield Development, LLC, No. 18-2202</t>
  </si>
  <si>
    <t>High-priority developer-control + dues/turnover settlement case</t>
  </si>
  <si>
    <t>The alleged $2.5M shortfall and dues-shifting theory came from the resident's derivative complaint and were not adjudicated as proven. The board settlements were upheld as valid and mooted overlapping derivative claims; they transferred declarant rights and paid the Association $1.25M.</t>
  </si>
  <si>
    <t>E302</t>
  </si>
  <si>
    <t>Homeowner representatives versus developers</t>
  </si>
  <si>
    <t>Wild Wing Company LLC; related declarant entities; Wild Wing HOA; property management company; association accountant</t>
  </si>
  <si>
    <t>Developer-controlled board / developer funding formula / management and accounting inputs</t>
  </si>
  <si>
    <t>DEVELOPER CONTROL + HOA UNDERFUNDING ALLEGATIONS — homeowners challenged developer funding option and amendments extending it</t>
  </si>
  <si>
    <t>Homeowner representatives alleged Wild Wing developers underfunded the HOA while controlling the board, miscalculated the declarant's contribution under a funding option, and used 2011 and 2016 amendments to extend that option at the Association's expense. The record notes the contribution calculation was prepared jointly by the Finance Committee, property management company and association accountant. The South Carolina Court of Appeals ultimately affirmed summary judgment for the developers, including on statute-of-limitations and fiduciary-duty grounds.</t>
  </si>
  <si>
    <t>No single aggregate shortfall amount stated in appellate opinion; annual funding calculations and amendments were challenged</t>
  </si>
  <si>
    <t>Derivative litigation / summary judgment for developers affirmed</t>
  </si>
  <si>
    <t>South Carolina Court of Appeals / Justia</t>
  </si>
  <si>
    <t>C. Barry Dykes v. Wild Wing Company, LLC, 2025-UP-299</t>
  </si>
  <si>
    <t>High-value developer-funding allegation with explicit outcome</t>
  </si>
  <si>
    <t>No developer wrongdoing was found in this appeal. The court affirmed summary judgment. Included because it documents a recurring mechanism: declarant contribution formulas and amendments made while developers retain board control, with management/accounting participation in the calculations.</t>
  </si>
  <si>
    <t>E303</t>
  </si>
  <si>
    <t>Lismore Village HOA; Eastwood Construction LLC; HOA Community Management LLC</t>
  </si>
  <si>
    <t>Developer/declarant role / management company / assessment billing and liens</t>
  </si>
  <si>
    <t>DEVELOPER CONTROL + ASSESSMENT EXEMPTION — developer allegedly directed management to bill and lien owners while exempting its own lots</t>
  </si>
  <si>
    <t>Lismore Village HOA alleged Eastwood acted as declarant from 2007 to 2012, hired HOA Community Management, approved budgets and assessment schedules, directed management to invoice all lot owners except Eastwood, and directed liens against owners who did not pay. After homeowner turnover in 2012, the new board demanded unpaid assessments from Eastwood. A federal court denied Eastwood's motion to dismiss and held the core allegations were sufficient to proceed.</t>
  </si>
  <si>
    <t>71 developer-owned lots implicated; unpaid assessment amount not stated in the federal 2016 order</t>
  </si>
  <si>
    <t>Federal litigation / motion to dismiss denied; later public records indicate settlement agreement in related state litigation</t>
  </si>
  <si>
    <t>U.S. District Court, District of South Carolina / Justia</t>
  </si>
  <si>
    <t>Lismore Village Homeowners' Association Inc. v. Eastwood Construction LLC</t>
  </si>
  <si>
    <t>Highest-priority developer + management-company assessment-control allegation</t>
  </si>
  <si>
    <t>The 2016 federal order did not establish liability; it denied dismissal and accepted complaint allegations as true at that stage. Public state-court records later reference a settlement agreement, but this row does not state settlement terms because they were not established in the reviewed source.</t>
  </si>
  <si>
    <t>E304</t>
  </si>
  <si>
    <t>Condominium association versus successor declarant and affiliate</t>
  </si>
  <si>
    <t>Maine</t>
  </si>
  <si>
    <t>Village at Ocean's End Condominium Association; Southwest Harbor Properties LLC; Howland Real Estate LLC; Jeffrey Howland</t>
  </si>
  <si>
    <t>Successor declarant / affiliated property owner / declarant-controlled association / long-term amenity lease</t>
  </si>
  <si>
    <t>DEVELOPER CONTROL + AMENITY LEASE — shorefront parcel withdrawn from condo then leased back to declarant-controlled association for 99 years</t>
  </si>
  <si>
    <t>The successor declarant exercised reserved development rights to withdraw a shorefront parcel from the condominium and conveyed it to Howland Real Estate. In 2014, while the Association was still under declarant control, Jeffrey Howland managed both Howland Real Estate and the Association and executed a 99-year lease back to the Association at $50 per declared unit per month with 3% annual increases. The Association later alleged self-dealing and challenged both the withdrawal and lease.</t>
  </si>
  <si>
    <t>$50 per declared unit per month, increasing 3% annually; 99-year lease; $40,000 settlement payment</t>
  </si>
  <si>
    <t>Litigation / settlement terminated lease; Maine Supreme Judicial Court upheld validity of parcel withdrawal</t>
  </si>
  <si>
    <t>Maine Supreme Judicial Court / Justia</t>
  </si>
  <si>
    <t>The Village at Ocean's End Condominium Association v. Southwest Harbor Properties LLC, 2025 ME 85</t>
  </si>
  <si>
    <t>Highest-priority developer-created recurring amenity-obligation case</t>
  </si>
  <si>
    <t>The Maine high court held the parcel withdrawal was a valid exercise of reserved development rights and therefore found no fiduciary breach as to the withdrawal. Lease-related fiduciary claims were settled, the 99-year lease was terminated, remaining claims dismissed with prejudice, and defendants paid the Association $40,000.</t>
  </si>
  <si>
    <t>E305</t>
  </si>
  <si>
    <t>Condo owners and association versus developer and neighboring association</t>
  </si>
  <si>
    <t>District of Columbia</t>
  </si>
  <si>
    <t>2337 Champlain Street LLC; CCRE; Champlain Unit Owners Association; Erie Condominium Association</t>
  </si>
  <si>
    <t>Developer/declarant / pre-sale bylaws / third-party veto and long-duration settlement</t>
  </si>
  <si>
    <t>DEVELOPER CONTROL + GOVERNING-DOCUMENT RESTRICTIONS — declarant embedded third-party veto/easement rights before first unit sale</t>
  </si>
  <si>
    <t>Before selling any units, the developers settled a dispute with a neighboring condominium and amended Champlain's bylaws to impose rooftop restrictions benefiting the neighbor and requiring the neighbor's written consent for certain future changes. Buyers later alleged the restrictions and settlement were inadequately disclosed and sued for fraud and statutory violations. The trial court held the Association could terminate the declarant-era settlement because it exceeded the statutory two-year limit, but upheld the recorded bylaw amendments; the D.C. Court of Appeals affirmed judgment for the developers on the buyer claims and upheld the bylaw structure.</t>
  </si>
  <si>
    <t>No central damages award; dispute involved rooftop/cabana use and long-duration governance restrictions</t>
  </si>
  <si>
    <t>Developer summary judgment affirmed; declarant-era settlement terminable, but bylaw amendments upheld</t>
  </si>
  <si>
    <t>District of Columbia Court of Appeals / Justia</t>
  </si>
  <si>
    <t>Unit Owners Association of 2337 Champlain St. Condominium v. 2337 Champlain St., LLC</t>
  </si>
  <si>
    <t>High-value pre-sale developer governance-restriction case</t>
  </si>
  <si>
    <t>The owners did not prevail against the developers. Fraud claims were time-barred and statutory claims failed on other grounds. The court upheld the recorded bylaw restrictions. Included because it demonstrates how declarant-era settlements and amendments can bind later owners even when the association can terminate the underlying long-term contract.</t>
  </si>
  <si>
    <t>E306</t>
  </si>
  <si>
    <t>HOA versus successor declarant/private amenity owner</t>
  </si>
  <si>
    <t>West Neck Community Association; JBWK LLC; BayMark Golf / West Neck golf property</t>
  </si>
  <si>
    <t>Declarant / privately owned community amenity / HOA authority limits</t>
  </si>
  <si>
    <t>DEVELOPER STRUCTURE + PRIVATE AMENITY CONTROL — declaration gives private amenity owner exclusive use/access rights and limits HOA interference</t>
  </si>
  <si>
    <t>West Neck's declaration created privately owned 'Private Amenities' such as the golf course and gave their operator exclusive control over use and access, while expressly barring the HOA from taking actions that interfere with ownership, transfer, use or operation of the amenity. After golf operations ceased and successor declarant JBWK used part of the property for a tree farm, the HOA sued. In 2025 the federal court held the tree-farm use violated the declaration's residential/recreational-use restriction, but also confirmed the broad private-amenity rights created by the declaration.</t>
  </si>
  <si>
    <t>No direct recurring fee amount central to the 2025 ruling</t>
  </si>
  <si>
    <t>Federal summary-judgment ruling split between HOA and successor declarant</t>
  </si>
  <si>
    <t>U.S. District Court, Eastern District of Virginia / Justia</t>
  </si>
  <si>
    <t>West Neck Community Association, Inc. v. JBWK, LLC, No. 2:22-cv-00491</t>
  </si>
  <si>
    <t>High-value developer-created private-amenity control mechanism</t>
  </si>
  <si>
    <t>This is not a fraud or self-dealing finding. The court enforced both sides of the declaration: JBWK could not use the property for a non-recreational tree farm, but the private-amenity owner retained broad control over access/use and the HOA remained restricted from interfering with legitimate private-amenity operation.</t>
  </si>
  <si>
    <t>E307</t>
  </si>
  <si>
    <t>Valencia Reserve HOA; Boynton Beach Associates XIX, LLLP</t>
  </si>
  <si>
    <t>Developer-controlled HOA / deficit-funding election / owner working-fund contributions</t>
  </si>
  <si>
    <t>DEVELOPER CONTROL + FUNDING FORMULA — developer used owner working-fund contributions to reduce its deficit obligation</t>
  </si>
  <si>
    <t>During developer control, the developer elected not to pay parcel assessments and instead guaranteed association operating deficits. The HOA later challenged the use of homeowner working-fund contributions to reduce that deficit obligation. The Florida appellate court affirmed summary judgment for the developer and held the practice did not violate Chapter 720.</t>
  </si>
  <si>
    <t>No single damages figure central to appellate opinion</t>
  </si>
  <si>
    <t>State appellate decision / developer prevailed</t>
  </si>
  <si>
    <t>Florida Fourth District Court of Appeal / Justia</t>
  </si>
  <si>
    <t>Valencia Reserve Homeowners Association, Inc. v. Boynton Beach Associates XIX, LLLP</t>
  </si>
  <si>
    <t>High-value developer funding/assessment mechanism with adverse HOA outcome</t>
  </si>
  <si>
    <t>The HOA lost. Included because it documents a lawful-but-contested funding mechanism affecting how much the developer versus owners fund during declarant control.</t>
  </si>
  <si>
    <t>E308</t>
  </si>
  <si>
    <t>Vitalia at Tradition Residents' Association; Vitalia at Tradition LLC</t>
  </si>
  <si>
    <t>Developer-controlled board / reserve funding / assessment exemption</t>
  </si>
  <si>
    <t>DEVELOPER CONTROL + RESERVES/ASSESSMENTS — HOA challenged reserve funding; developer sought post-turnover assessment exemption</t>
  </si>
  <si>
    <t>Vitalia's developer controlled the HOA until January 2020. The Association challenged pre-turnover reserve contributions, while the developer relied on declaration language seeking to preserve an assessment exemption after turnover. The appellate court affirmed judgment for the developer on the reserve issue but also affirmed that the post-turnover assessment exemption was unenforceable.</t>
  </si>
  <si>
    <t>Independent audit found a significant 2019 operating deficit; exact remaining amount not central to opinion</t>
  </si>
  <si>
    <t>State appellate decision / mixed outcome</t>
  </si>
  <si>
    <t>Vitalia at Tradition Residents' Association, Inc. v. Vitalia at Tradition, LLC</t>
  </si>
  <si>
    <t>High-priority modern reserve + developer-assessment case</t>
  </si>
  <si>
    <t>Mixed result: Association lost reserve-funding challenge; developer could not keep a zero-assessment exemption after homeowner turnover.</t>
  </si>
  <si>
    <t>E309</t>
  </si>
  <si>
    <t>Condo associations versus developer and affiliated club</t>
  </si>
  <si>
    <t>Silver Beach Towers Property Owners Association; Silver Beach Investments of Destin, LC; The Club at Silver Shells, Inc.</t>
  </si>
  <si>
    <t>Developer / affiliated private club / mandatory membership and dues</t>
  </si>
  <si>
    <t>DEVELOPER CONTROL + MANDATORY CLUB — developer declaration tied units to off-site private club dues; owners later voted to remove obligation</t>
  </si>
  <si>
    <t>The condominium declaration automatically made each owner a non-equity member of an off-site private club, prohibited owners from terminating membership while they owned the unit, and allowed the Club to set dues and fees at its discretion. Owners later amended the declaration to remove the mandatory club membership and expenses. The developer and Club challenged the amendment, but the appellate court held the club membership was not a statutory appurtenance requiring unanimous owner consent, allowing the owners' amendment to stand.</t>
  </si>
  <si>
    <t>Mandatory dues/fees set by Club; no single aggregate amount central to appellate decision</t>
  </si>
  <si>
    <t>State appellate ruling / owners allowed to remove mandatory club obligation</t>
  </si>
  <si>
    <t>Florida First District Court of Appeal / legal reporting</t>
  </si>
  <si>
    <t>Silver Beach Towers Property Owners Association, Inc. v. Silver Beach Investments of Destin, LC</t>
  </si>
  <si>
    <t>Highest-priority mandatory-private-club developer structure</t>
  </si>
  <si>
    <t>This is distinct from the Silver Shells beach-property litigation. The issue here was mandatory membership in a separate off-site club and owners' ability to amend the declaration to eliminate that obligation.</t>
  </si>
  <si>
    <t>E310</t>
  </si>
  <si>
    <t>Developer collection suit / homeowner counterclaims</t>
  </si>
  <si>
    <t>Innerimages, Inc.; Sandra Gunn; Robert Newman and other homeowners</t>
  </si>
  <si>
    <t>Developer retaining control / maintenance-fee collection / restrictive covenants</t>
  </si>
  <si>
    <t>DEVELOPER CONTROL + FEES — developer collected maintenance fees while failing to honor its own obligations under covenants</t>
  </si>
  <si>
    <t>Innerimages sued homeowners to collect unpaid maintenance fees. After trial, the court dismissed the developer's collection action, held the restrictions unenforceable against the homeowners, found the developer liable for breach of fiduciary duty for failing to honor its obligations, pierced the corporate veil as to the developer's president, and awarded one homeowner repayment of fees previously paid. The Tennessee Court of Appeals affirmed as modified.</t>
  </si>
  <si>
    <t>Homeowner awarded return of fees paid; exact total not stated in appellate summary</t>
  </si>
  <si>
    <t>Bench-trial fiduciary finding / damages / appellate affirmance as modified</t>
  </si>
  <si>
    <t>Tennessee Court of Appeals / Justia</t>
  </si>
  <si>
    <t>Innerimages, Inc. v. Robert Newman et al.</t>
  </si>
  <si>
    <t>Highest-priority developer fee + fiduciary-duty case</t>
  </si>
  <si>
    <t>Adjudicated fiduciary-duty finding. The appellate court adopted Restatement principles governing developer duties and modified but substantially affirmed the judgment.</t>
  </si>
  <si>
    <t>E311</t>
  </si>
  <si>
    <t>HOA versus developer/related entities</t>
  </si>
  <si>
    <t>Magnolia North Property Owners Association; Heritage Communities Inc.; Heritage Magnolia North Inc.; BuildStar Corporation</t>
  </si>
  <si>
    <t>Developer parent / project-specific subsidiary / general contractor / developer-controlled POA</t>
  </si>
  <si>
    <t>DEVELOPER CONTROL + CORPORATE INTEGRATION — affiliated development, construction and property-management functions operated as shared cost centers</t>
  </si>
  <si>
    <t>The South Carolina Court of Appeals upheld findings that the parent developer, project subsidiary and general contractor had an 'amalgamation' of corporate interests and activities. The evidence showed project-specific companies were created as cost centers for development expenses and property-management/construction allocation; the entities shared officers, directors, office space and phone numbers, and developer officers controlled the POA before turnover.</t>
  </si>
  <si>
    <t>Related Magnolia North verdicts were substantial; this row focuses on corporate/control structure rather than treating ordinary defects as a separate mechanism</t>
  </si>
  <si>
    <t>Jury/trial findings on corporate amalgamation affirmed on appeal</t>
  </si>
  <si>
    <t>Magnolia North POA v. Heritage Communities, Inc.</t>
  </si>
  <si>
    <t>High-value developer/property-management corporate-structure case</t>
  </si>
  <si>
    <t>Underlying case included construction defects, but included here only because the appellate record documents integrated development, construction, management-cost allocation and POA control through overlapping entities.</t>
  </si>
  <si>
    <t>E312</t>
  </si>
  <si>
    <t>Utah</t>
  </si>
  <si>
    <t>Gables at Sterling Village HOA; Castlewood-Sterling Village I LLC; Castlewood Development LLC</t>
  </si>
  <si>
    <t>Developer-controlled HOA / initial budget and reserves / turnover</t>
  </si>
  <si>
    <t>DEVELOPER CONTROL + RESERVES — HOA alleged developer failed to establish sound fiscal basis and adequate reserves before turnover</t>
  </si>
  <si>
    <t>After turnover, the HOA sued alleging among other things that the developer breached its limited fiduciary duty to establish a sound fiscal basis through assessments and reserves and to disclose material facts. The Utah Supreme Court affirmed a directed verdict for the developer because the HOA failed to provide the expert evidence needed to establish the applicable standard of care; evidence in the record also indicated the initial reserve position was comparable to industry averages absent latent defects.</t>
  </si>
  <si>
    <t>HOA cited repair needs of about $4.6M, but court did not treat that amount as proof that turnover reserves were legally inadequate</t>
  </si>
  <si>
    <t>State supreme court / developer prevailed on fiduciary claim</t>
  </si>
  <si>
    <t>Utah Supreme Court / Justia</t>
  </si>
  <si>
    <t>Gables at Sterling Village Homeowners Association v. Castlewood-Sterling Village I, LLC</t>
  </si>
  <si>
    <t>High-value reserve/turnover allegation with clear adverse outcome</t>
  </si>
  <si>
    <t>Developer won. Included because the case directly defines and tests the developer's duty to establish a sound fiscal basis, even though the HOA failed to prove breach.</t>
  </si>
  <si>
    <t>E313</t>
  </si>
  <si>
    <t>Lot owners versus purported successor declarant</t>
  </si>
  <si>
    <t>Idaho</t>
  </si>
  <si>
    <t>Sky Canyon Properties and homeowners; The Golf Club at Black Rock LLC; Black Rock Development</t>
  </si>
  <si>
    <t>Purported successor declarant / golf club / HOA appointment powers</t>
  </si>
  <si>
    <t>DEVELOPER CONTROL — golf club acquired claimed declarant rights and attempted to exercise HOA appointment/removal powers</t>
  </si>
  <si>
    <t>A golf club claimed successor-declarant status through assignments from the original developer. Homeowners sued, arguing the club did not qualify. The Idaho Supreme Court agreed, holding the club was not a successor declarant because it did not take title for sale and development and therefore could not exercise declarant powers, including appointing or removing HOA directors and officers.</t>
  </si>
  <si>
    <t>No central monetary amount</t>
  </si>
  <si>
    <t>State supreme court / declarant powers denied</t>
  </si>
  <si>
    <t>Idaho Supreme Court / Justia</t>
  </si>
  <si>
    <t>Sky Canyon Properties, LLC v. The Golf Club at Black Rock, LLC</t>
  </si>
  <si>
    <t>High-priority successor-declarant control case</t>
  </si>
  <si>
    <t>Adjudicated control ruling. This is not a financial-fraud case; it documents attempted continuation of developer-style governance authority through a successor private club.</t>
  </si>
  <si>
    <t>E314</t>
  </si>
  <si>
    <t>Condo association versus developer</t>
  </si>
  <si>
    <t>Colorado</t>
  </si>
  <si>
    <t>Vallagio at Inverness Residential Condominium Association; Metro Inverness LLC; Metropolitan Homes Inc.</t>
  </si>
  <si>
    <t>Developer-drafted declaration / arbitration clause / retained amendment-consent power</t>
  </si>
  <si>
    <t>DEVELOPER CONTROL / CLAIMS BARRIER — declarant retained veto over amendments to mandatory arbitration provision for developer claims</t>
  </si>
  <si>
    <t>The developer drafted a declaration requiring binding arbitration of construction-defect claims and also retained a consent right over proposed declaration amendments for a period. After homeowners attempted to amend the declaration and sue, the Colorado Supreme Court held CCIOA permitted the declarant's retained consent right and required arbitration of the claims.</t>
  </si>
  <si>
    <t>No central damages amount in supreme court opinion</t>
  </si>
  <si>
    <t>State supreme court / developer prevailed; arbitration required</t>
  </si>
  <si>
    <t>Colorado Supreme Court / Justia</t>
  </si>
  <si>
    <t>Vallagio at Inverness Residential Condominium Association, Inc. v. Metropolitan Homes, Inc.</t>
  </si>
  <si>
    <t>High-priority developer-created dispute-resolution/control mechanism</t>
  </si>
  <si>
    <t>The underlying dispute involved defects, but this row is included only for the governance mechanism: a developer-drafted arbitration provision coupled with a retained consent/veto right over amendments.</t>
  </si>
  <si>
    <t>E315</t>
  </si>
  <si>
    <t>Homeowner / Court Record</t>
  </si>
  <si>
    <t>Homeowner complaint against declarant-controlled HOA</t>
  </si>
  <si>
    <t>Delaware</t>
  </si>
  <si>
    <t>Gwendolyn Colston; The Greens at Wyoming HOA; The Greens at Wyoming LLC; Sean Marcus; Salame estate representatives</t>
  </si>
  <si>
    <t>Declarant-controlled HOA / association loan / financial records / delayed turnover</t>
  </si>
  <si>
    <t>DEVELOPER CONTROL + HOA LOAN — homeowner seeks forensic audit, explanation of $44,329.59 HOA loan and turnover of control</t>
  </si>
  <si>
    <t>A homeowner sued alleging prolonged declarant control and requested a forensic audit, an explanation of the purpose of a $44,329.59 loan taken against the HOA, an end to further dues collection, and turnover to a homeowner board and management company. The record also includes a mayoral letter describing years of resident concerns. In May 2026 the Delaware Court of Chancery recommended denying both the plaintiff's default motion and certain defendants' motion to dismiss, allowing the matter to continue rather than resolving the merits.</t>
  </si>
  <si>
    <t>$44,329.59 HOA loan specifically identified in complaint</t>
  </si>
  <si>
    <t>Pending Chancery litigation / motions to dismiss and for default denied</t>
  </si>
  <si>
    <t>Delaware Court of Chancery / Justia</t>
  </si>
  <si>
    <t>Gwendolyn Colston v. The Greens at Wyoming Homeowner Association et al.</t>
  </si>
  <si>
    <t>Highest-priority current developer-control + financing complaint</t>
  </si>
  <si>
    <t>Pending allegations, not findings. Included because the pleadings identify a specific HOA loan, demand a forensic audit and seek declarant turnover; the 2026 court report did not adjudicate whether funds were misused.</t>
  </si>
  <si>
    <t>E316</t>
  </si>
  <si>
    <t>Condo owners versus developer governance scheme</t>
  </si>
  <si>
    <t>Wisconsin</t>
  </si>
  <si>
    <t>Geneva National owners; Forward Geneva National; Keefe &amp; Associates; Geneva National Trust; Community Association; developer-owned clubs</t>
  </si>
  <si>
    <t>Developer/declarant / community trust / developer-owned clubs / association assessments</t>
  </si>
  <si>
    <t>DEVELOPER CONTROL + ASSESSMENT SHIFTING — declaration allowed broad developer control; amendment shifted club costs to residential owners</t>
  </si>
  <si>
    <t>The Wisconsin Supreme Court upheld the broader Geneva National governance structure against the owners' challenge. The record, particularly the dissent's detailed review of undisputed governing documents, describes extensive retained developer powers and notes a 2001 developer amendment reducing assessments on developer-owned Clubs by shifting Swim and Racquet Club-related assessments to residential owners. The majority did not invalidate the governance structure.</t>
  </si>
  <si>
    <t>No single aggregate amount for shifted assessments</t>
  </si>
  <si>
    <t>State supreme court / owners' challenge unsuccessful; control structure left in place</t>
  </si>
  <si>
    <t>Wisconsin Supreme Court / Justia</t>
  </si>
  <si>
    <t>Solowicz v. Forward Geneva National</t>
  </si>
  <si>
    <t>High-value developer-control + assessment-allocation case</t>
  </si>
  <si>
    <t>Outcome favored the developer/governance structure. The assessment-shifting discussion appears in the dissent's factual analysis and should be described as part of the record, not as a majority holding that the shift was unlawful.</t>
  </si>
  <si>
    <t>E317</t>
  </si>
  <si>
    <t>St. Maarten at Silver Shells Condominium Association; Silver Shells Corporation; Silver Shells master association</t>
  </si>
  <si>
    <t>Developer-controlled master association / beach property / dues and amenity income</t>
  </si>
  <si>
    <t>DEVELOPER CONTROL + AMENITY REVENUE — developer removed entire beach parcel from future common property and retained income rights</t>
  </si>
  <si>
    <t>The developer amended the resort covenants in 2000 to designate the entire beach parcel as Clubhouse Property, removing it from property otherwise slated for conveyance to the master association at turnover. The appellate record states the practical effect was to let the developer control beach use and retain substantial income from beach-chair and umbrella rentals. The association sued over ownership, turnover and dues. The appellate court reversed partial summary judgment for the association, holding the beach-property claim time-barred and the turnover claim premature under the recorded turnover formula.</t>
  </si>
  <si>
    <t>Substantial beach-rental income described but not quantified; dues claim also pleaded</t>
  </si>
  <si>
    <t>State appellate decision / developer prevailed on limitations and turnover timing</t>
  </si>
  <si>
    <t>Florida First District Court of Appeal / CaseMine</t>
  </si>
  <si>
    <t>Silver Shells Corp. v. St. Maarten at Silver Shells Condominium Association, Inc.</t>
  </si>
  <si>
    <t>Highest-priority developer-retained amenity revenue case</t>
  </si>
  <si>
    <t>The appellate court did not rule that removing the beach property was substantively proper; it held the ownership challenge untimely and turnover premature. Dues claims were not resolved in this appeal.</t>
  </si>
  <si>
    <t>E318</t>
  </si>
  <si>
    <t>HOA and homeowners versus declarants</t>
  </si>
  <si>
    <t>Pennsylvania</t>
  </si>
  <si>
    <t>Laurel Road Homeowners Association; William and Nancy Freas; Ridings at Newlin</t>
  </si>
  <si>
    <t>Developer/declarants / HOA governance / financial records / reserves / common-area completion</t>
  </si>
  <si>
    <t>DEVELOPER CONTROL + RECORDS/RESERVES — court found numerous fiduciary breaches during declarant control</t>
  </si>
  <si>
    <t>The trial court found the declarants prevented owner participation, kept no association financial records, prepared no annual financial statements, failed to make records available, held no owner meetings, created no reserve fund, failed to properly transfer control, altered governing documents without adequate explanation, and failed to complete common areas. It found numerous fiduciary breaches and awarded the HOA damages. The Pennsylvania Commonwealth Court affirmed the fiduciary-duty finding and damages.</t>
  </si>
  <si>
    <t>$59,588 damages: $31,588 road repair, $6,500 declaration work, $6,500 bylaws, $15,000 subdivision plans</t>
  </si>
  <si>
    <t>Trial fiduciary finding / damages / appellate affirmance</t>
  </si>
  <si>
    <t>Pennsylvania Commonwealth Court / vLex</t>
  </si>
  <si>
    <t>Laurel Road Homeowners Association, Inc. v. Freas, 191 A.3d 938 (Pa. Commw. Ct. 2018)</t>
  </si>
  <si>
    <t>Highest-priority developer fiduciary/records/reserve case</t>
  </si>
  <si>
    <t>Adjudicated fiduciary-duty finding. The court also addressed whether declarants personally owed assessments, but this row focuses on the proven governance, records, reserve and common-area failures.</t>
  </si>
  <si>
    <t>E319</t>
  </si>
  <si>
    <t>HOA governance/control litigation</t>
  </si>
  <si>
    <t>Renegade Mountain Community Club; Moy Toy LLC; property owners; prior developer interests</t>
  </si>
  <si>
    <t>Party claiming developer authority / common amenities / HOA dues / long-term control</t>
  </si>
  <si>
    <t>DEVELOPER CONTROL + AMENITY NEGLECT — party claiming developer power retained control while amenities deteriorated and services stopped</t>
  </si>
  <si>
    <t>In a long-running Renegade Mountain dispute, the trial court found a party claiming developer status had undertaken no meaningful development for years, stopped maintaining roads and common amenities, and still sought control over areas historically promised and maintained for owners through dues. The Tennessee Court of Appeals affirmed transfer of control, access, maintenance and operation of identified common properties to the homeowner organization and emphasized that developer-style control cannot continue indefinitely without corresponding responsibilities.</t>
  </si>
  <si>
    <t>Dues historically funded roads, pool, sports park and other common areas; no single damages award central</t>
  </si>
  <si>
    <t>State appellate ruling / homeowner organization obtained control over common properties</t>
  </si>
  <si>
    <t>Gary Haiser et al. v. Michael McClung et al.</t>
  </si>
  <si>
    <t>High-priority perpetual-control / amenity-responsibility case</t>
  </si>
  <si>
    <t>The court noted Moy Toy was not technically a successor developer in every respect, but it had claimed and acted under developer-style authority. Included because the court directly addressed attempted perpetual control without maintenance responsibility.</t>
  </si>
  <si>
    <t>E320</t>
  </si>
  <si>
    <t>Property owners and POA versus developer/management company</t>
  </si>
  <si>
    <t>The Cliffs POA; Double Diamond, Inc.; Double Diamond Management; R. Mike Ward and others</t>
  </si>
  <si>
    <t>Developer / affiliated management company / POA finances / unilateral amendment power</t>
  </si>
  <si>
    <t>DEVELOPER + MANAGEMENT CONTROL — owners alleged overcharges and sought accounting while developer/manager controlled POA money</t>
  </si>
  <si>
    <t>Property owners and the POA alleged Double Diamond and Double Diamond Management overcharged members for services and failed to adequately account for POA expenditures. The appellate record says the management company controlled POA money and documents $1.725 million transferred from the POA to Double Diamond before homeowners gained control; the transfer was defended as repayment of historical advances. The court ultimately held the management entities owed no fiduciary duty under the service agreement, found the accounting sufficient, and rejected the overcharge theory, while separately holding the development period had ended and remanding issues concerning the developer's unilateral amendment authority.</t>
  </si>
  <si>
    <t>$1.725M transferred from POA to Double Diamond before owner control; alleged service overcharges not proven</t>
  </si>
  <si>
    <t>State appellate decision / mixed outcome: overcharge-accounting claims failed; development-period ruling favored owners</t>
  </si>
  <si>
    <t>Texas Eleventh Court of Appeals / FindLaw</t>
  </si>
  <si>
    <t>Dipprey v. Double Diamond, Inc.</t>
  </si>
  <si>
    <t>Highest-priority developer + affiliated-management financial-control case</t>
  </si>
  <si>
    <t>No fiduciary breach or overcharging was found. The court upheld the financial-accounting outcome for Double Diamond/management, but held The Cliffs was no longer in the development period. Included because the case directly documents developer-affiliated management, control of POA money, transfers, and competing accounting claims.</t>
  </si>
  <si>
    <t>E321</t>
  </si>
  <si>
    <t>HOA versus developer/amenity owner</t>
  </si>
  <si>
    <t>Kentucky</t>
  </si>
  <si>
    <t>Canewood Homeowners Association; Wilshire Investment Properties LLC; Canewood developer/affiliate</t>
  </si>
  <si>
    <t>Developer-created golf community / clubhouse lot / HOA amenity rights</t>
  </si>
  <si>
    <t>DEVELOPER CONTROL + AMENITY USE — developer transferred/structured golf and clubhouse property while HOA asserted continuing use restrictions</t>
  </si>
  <si>
    <t>The Canewood developer had structured the community around an integrated golf course, swimming facility and clubhouse. After the developer leased the golf course to the HOA and transferred title in 2015, the HOA sought to enforce use restrictions against the clubhouse lot. The Kentucky Court of Appeals reversed summary judgment against the HOA, holding the development scheme supported the HOA's right to enforce those restrictions and remanded for further proceedings.</t>
  </si>
  <si>
    <t>No central dollar amount</t>
  </si>
  <si>
    <t>State appellate ruling / HOA revived claims; no final liability determination</t>
  </si>
  <si>
    <t>Kentucky Court of Appeals / Justia</t>
  </si>
  <si>
    <t>Canewood Homeowners Association, Inc. v. Wilshire Investment Properties LLC</t>
  </si>
  <si>
    <t>High-value developer amenity-control dispute</t>
  </si>
  <si>
    <t>The appellate court did not finally adjudicate all underlying claims; it reversed summary judgment and remanded. Included for the developer-created amenity/property structure and the HOA's post-turnover enforcement rights.</t>
  </si>
  <si>
    <t>E322</t>
  </si>
  <si>
    <t>HOA/declarant-rights litigation</t>
  </si>
  <si>
    <t>Legacy Interests; El Rio Country Club; El Rio Community Association; Dev-Tron; Maas; D&amp;E Management</t>
  </si>
  <si>
    <t>Declarant/community-master-planner rights / HOA management / notice to homeowners</t>
  </si>
  <si>
    <t>DEVELOPER CONTROL + RIGHTS TRANSFER — powerful declarant rights purportedly transferred without notice to HOA/homeowners</t>
  </si>
  <si>
    <t>Litigation over El Rio involved competing assignments of declarant and community master-planner rights, including rights that could allow property to be withdrawn from the development. The Arizona Court of Appeals upheld denial of claims by entities asserting rights through federal-court-approved partial assignments, finding the assignor no longer held the rights and, independently, that assignments without notice to the Association and homeowners violated Arizona law.</t>
  </si>
  <si>
    <t>State appellate ruling / claimed declarant-right assignments held invalid</t>
  </si>
  <si>
    <t>Arizona Court of Appeals / Justia</t>
  </si>
  <si>
    <t>Legacy Interests, et al. v. El Rio, et al.</t>
  </si>
  <si>
    <t>Highest-priority declarant-rights transfer/no-notice case</t>
  </si>
  <si>
    <t>This opinion is unpublished. It is valuable for the control mechanism: transfer of declarant/master-planner authority without homeowner notice, not for a fraud finding.</t>
  </si>
  <si>
    <t>E323</t>
  </si>
  <si>
    <t>Bank/successor owner versus HOA</t>
  </si>
  <si>
    <t>Civis Bank; The Willows at Twin Cove Marina HOA; original developer</t>
  </si>
  <si>
    <t>Foreclosure purchaser / claimed successor declarant / assessment exemption</t>
  </si>
  <si>
    <t>DEVELOPER CONTROL + ASSESSMENT EXEMPTION — foreclosure purchaser sought declarant status to avoid HOA assessments</t>
  </si>
  <si>
    <t>After the original developer defaulted on construction loans, Civis Bank acquired portions of the development through foreclosure and asked the court to declare it the successor Declarant so it would be exempt from HOA assessments. The Tennessee Court of Appeals held Civis did not meet the declaration's definition of Declarant and affirmed summary judgment for the HOA.</t>
  </si>
  <si>
    <t>Assessment exemption sought; exact amount not central to opinion</t>
  </si>
  <si>
    <t>State appellate ruling / HOA prevailed; successor declarant status denied</t>
  </si>
  <si>
    <t>Civis Bank v. The Willows at Twin Cove Marina Homeowners Association</t>
  </si>
  <si>
    <t>High-priority successor-declarant/assessment case</t>
  </si>
  <si>
    <t>Adjudicated status ruling. Shows how declarant status can carry direct financial value through assessment exemptions.</t>
  </si>
  <si>
    <t>E324</t>
  </si>
  <si>
    <t>HOA versus successor owner</t>
  </si>
  <si>
    <t>Hidden Lake Resorts HOA; Charles Z. Moore; prior developer; bank</t>
  </si>
  <si>
    <t>Successor declarant / unfinished infrastructure / special-assessment risk</t>
  </si>
  <si>
    <t>DEVELOPER CONTROL + INFRASTRUCTURE OBLIGATION — successor sought declarant rights without original developer responsibilities</t>
  </si>
  <si>
    <t>After the original developer failed, a bank received an assignment purporting to transfer declarant rights without assuming past, present or future obligations. A later successor owner argued he likewise held rights without obligations. The HOA resisted because unfinished roads, sewer and other infrastructure could expose homeowners to special assessments. The Tennessee Court of Appeals affirmed that the successor owner assumed both the prior declarant's rights and responsibilities.</t>
  </si>
  <si>
    <t>No single dollar amount; HOA specifically feared special assessments for unfinished development obligations</t>
  </si>
  <si>
    <t>State appellate ruling / successor declarant obligations enforced</t>
  </si>
  <si>
    <t>Hidden Lake Resorts Homeowners Association, Inc. v. Charles Z. Moore et al.</t>
  </si>
  <si>
    <t>Highest-priority developer-obligation/special-assessment protection case</t>
  </si>
  <si>
    <t>Adjudicated responsibility ruling. The record is particularly useful for legislators because the court rejected an attempted separation of declarant powers from declarant obligations.</t>
  </si>
  <si>
    <t>E325</t>
  </si>
  <si>
    <t>HOA versus purchasers claiming special declarant rights</t>
  </si>
  <si>
    <t>Alaska</t>
  </si>
  <si>
    <t>Sky Ranch, Inc.; David and Jan Meyers; Sky Ranch Aero Services; original developers</t>
  </si>
  <si>
    <t>Developer-held special declarant rights / HOA right of first refusal / aviation amenities</t>
  </si>
  <si>
    <t>DEVELOPER CONTROL + AMBIGUOUS RIGHTS TRANSFER — developers sold lot without clearly conveying or disclosing special declarant rights</t>
  </si>
  <si>
    <t>Sky Ranch's developers held special declarant rights tied to a unique aviation lot. They sold the lot, but the deed did not clearly convey those rights and the HOA was not informed that special declarant rights were supposedly transferring. New owners later claimed powers to bypass HOA construction oversight and expand aircraft-facility use. The Alaska Supreme Court found the deed ambiguous, reversed summary judgment on the declarant-right issue and remanded.</t>
  </si>
  <si>
    <t>State supreme court / mixed ruling; declarant-right transfer issue remanded</t>
  </si>
  <si>
    <t>Alaska Supreme Court / Justia</t>
  </si>
  <si>
    <t>Meyers v. Sky Ranch, Inc.</t>
  </si>
  <si>
    <t>High-priority undisclosed/ambiguous special-declarant-right transfer case</t>
  </si>
  <si>
    <t>No final determination yet on whether the rights transferred. The significance is the lack of clarity and HOA notice surrounding powers that could bypass normal association oversight.</t>
  </si>
  <si>
    <t>E326</t>
  </si>
  <si>
    <t>Condo owners versus developer/club affiliates</t>
  </si>
  <si>
    <t>Georgia</t>
  </si>
  <si>
    <t>PT Hills Condo LP; developer affiliates; CCRE; condominium owners</t>
  </si>
  <si>
    <t>Developer-controlled structure / club lease / entrance fee / operating margin</t>
  </si>
  <si>
    <t>DEVELOPER CONTROL + AFFILIATED CLUB ECONOMICS — owners challenged undisclosed ownership/lease structure producing 30% operating margin</t>
  </si>
  <si>
    <t>Owners challenged a developer-created condominium/club structure involving a $100,000 club entrance fee and lease arrangements under which club charges helped pay rent to a developer-affiliated entity, with a stated 30% operating-profit margin. The Georgia Court of Appeals vacated dismissal of some disclosure claims involving ownership interests, allowing those claims to proceed, while affirming dismissal of other theories attacking the financial obligation itself.</t>
  </si>
  <si>
    <t>$100,000 entrance fee; 30% operating-profit margin described in challenged structure</t>
  </si>
  <si>
    <t>State appellate ruling / mixed outcome; some disclosure claims revived</t>
  </si>
  <si>
    <t>Georgia Court of Appeals / Justia</t>
  </si>
  <si>
    <t>John Darden et al. v. PT Hills Condo, LP et al.</t>
  </si>
  <si>
    <t>High-priority affiliated amenity/lease disclosure case</t>
  </si>
  <si>
    <t>No finding of fraud or illegality on the overall payment structure. Some disclosure claims survived while other claims were dismissed. Included for the developer-created affiliated lease/economic mechanism.</t>
  </si>
  <si>
    <t>E327</t>
  </si>
  <si>
    <t>Homeowners versus lender/HOA after developer default</t>
  </si>
  <si>
    <t>Leigh Ann Urbanavage et al.; Capital Bank; development HOA; original developer</t>
  </si>
  <si>
    <t>Developer lender / post-default project control / maintenance and liens</t>
  </si>
  <si>
    <t>DEVELOPER COLLAPSE + LENDER CONTROL — bank assumed significant control after developer default; homeowners challenged maintenance and liens</t>
  </si>
  <si>
    <t>After the developer defaulted on development loans, Capital Bank assumed significant management/control over the project. Homeowners sued the bank, HOA and others alleging failures to maintain the subdivision, tortious interference, fiduciary breaches and improper liens. The Tennessee Court of Appeals reversed summary judgment for the bank on the homeowners' tortious-interference claim and reversed on parts of the HOA's delinquent-assessment counterclaim, while affirming other rulings.</t>
  </si>
  <si>
    <t>Assessment/lien amounts varied by homeowner; no single aggregate amount central to appeal</t>
  </si>
  <si>
    <t>State appellate decision / mixed outcome; some homeowner claims revived</t>
  </si>
  <si>
    <t>Leigh Ann Urbanavage et al. v. Capital Bank et al.</t>
  </si>
  <si>
    <t>High-value developer-financing-collapse/control case</t>
  </si>
  <si>
    <t>This is not a classic declarant self-dealing case. Included because developer financial failure shifted practical control to the lender and produced HOA maintenance/assessment disputes.</t>
  </si>
  <si>
    <t>E328</t>
  </si>
  <si>
    <t>Builder/lot owner versus HOA</t>
  </si>
  <si>
    <t>Moore &amp; Associates Memphis LLC; Greystone Homeowners Association; original developer</t>
  </si>
  <si>
    <t>Developer-drafted assessment exemption / third-party builder purchaser</t>
  </si>
  <si>
    <t>DEVELOPER CONTROL + ASSESSMENT EXEMPTION — governing documents extended developer-style assessment exemption to certain builder purchasers</t>
  </si>
  <si>
    <t>Greystone's governing documents exempted the developer from assessments and also exempted purchasers from the developer who acquired lots for home construction. A builder that bought 27 lots after the original developer's financial problems claimed the exemption. The Tennessee Court of Appeals held the builder was not the Declarant but nevertheless qualified for the separate assessment exemption, requiring removal of the HOA's liens.</t>
  </si>
  <si>
    <t>27 lots; assessment/liens removed, exact total not central to opinion</t>
  </si>
  <si>
    <t>State appellate ruling / builder prevailed under developer-drafted exemption</t>
  </si>
  <si>
    <t>Moore &amp; Associates Memphis, LLC v. Greystone Homeowners Association</t>
  </si>
  <si>
    <t>High-value lawful developer-created assessment-exemption structure</t>
  </si>
  <si>
    <t>This is the 'law allowed it' category, not misconduct. It demonstrates how developer-drafted assessment exemptions can survive into later ownership and shift HOA costs to other owners.</t>
  </si>
  <si>
    <t>E329</t>
  </si>
  <si>
    <t>Homeowners versus developer and management company</t>
  </si>
  <si>
    <t>Cobblestone Park homeowners; Cobblestone Park Development Group LLC; Premier Property Management; HOA board</t>
  </si>
  <si>
    <t>Developer-controlled HOA / property manager / HOA bank accounts and records</t>
  </si>
  <si>
    <t>DEVELOPER + MANAGEMENT CONTROL — settlement required developer-aligned board and manager to relinquish financial control and records</t>
  </si>
  <si>
    <t>Homeowners alleged the developer, board members and Premier Property Management wrongfully maintained control of the HOA, improperly spent association funds and failed to provide adequate accounting. A 2021 settlement required board members to resign, Premier to resign as manager, and control of HOA finances and bank accounts to be turned over, with a process to review disputed expenditures. Later litigation over enforcement/pleadings reached the appellate court, which reversed a judgment on the pleadings.</t>
  </si>
  <si>
    <t>Disputed expenditures subject to review; no single aggregate amount established in appellate opinion</t>
  </si>
  <si>
    <t>Settlement + appellate ruling allowing litigation to continue</t>
  </si>
  <si>
    <t>Ohio Ninth District Court of Appeals / Justia</t>
  </si>
  <si>
    <t>Brock v. Cobblestone Park Development Group, LLC</t>
  </si>
  <si>
    <t>Highest-priority developer + management financial-control settlement</t>
  </si>
  <si>
    <t>Settlement terms do not equal a judicial finding of misappropriation. Included because the resolution itself transferred board, management, bank-account and financial-record control away from the developer-aligned structure.</t>
  </si>
  <si>
    <t>E330</t>
  </si>
  <si>
    <t>Builder versus developer-controlled HOA and builders</t>
  </si>
  <si>
    <t>Legacy Estates; Signal Hill Estates HOA; Saturn Five; three custom builders</t>
  </si>
  <si>
    <t>Successor developer / developer-controlled architectural committee / exclusive builder agreement</t>
  </si>
  <si>
    <t>DEVELOPER CONTROL + COMPETITION — declarant-controlled approval process paired with exclusive-builder arrangement</t>
  </si>
  <si>
    <t>During the declarant-control period, successor developer Saturn Five could appoint and remove the architectural committee and entered an agreement granting three custom builders exclusive rights to build homes in Signal Hill Estates for a defined period, subject to limited exceptions. Another builder sued after being prevented from building. The Texas Court of Appeals affirmed summary judgment for the developer, HOA and favored builders.</t>
  </si>
  <si>
    <t>State appellate ruling / exclusive-builder structure upheld against challenger</t>
  </si>
  <si>
    <t>Texas Eighth Court of Appeals / Justia</t>
  </si>
  <si>
    <t>Legacy Estates et al. v. Signal Hill Estates Homeowners Association et al.</t>
  </si>
  <si>
    <t>High-priority antitrust-adjacent developer competition/control structure</t>
  </si>
  <si>
    <t>No antitrust violation was found. Included because the documented mechanism combines declarant control over approvals with an exclusive arrangement limiting who could build in the community.</t>
  </si>
  <si>
    <t>E331</t>
  </si>
  <si>
    <t>HOA versus developer/lenders</t>
  </si>
  <si>
    <t>Mountain Club Association; Mountain Club at Cashiers LLC; developer principals; lenders</t>
  </si>
  <si>
    <t>Developer / HOA loans / member loans / assessment waivers / clubhouse collateral</t>
  </si>
  <si>
    <t>DEVELOPER CONTROL + FINANCING — developer borrowed HOA money and solicited member loans in exchange for assessment waivers before amenity foreclosure</t>
  </si>
  <si>
    <t>The Mountain Club developer borrowed $75,000 directly from the Association, then around 2010-2011 solicited additional loans from Association members in exchange for waiving assessments they otherwise owed. The developer later defaulted on lender obligations and conveyed the clubhouse and tennis-court properties to lenders by deed in lieu of foreclosure. The Association sued over whether those properties should have become common elements and other claims.</t>
  </si>
  <si>
    <t>$75,000 HOA loan; $220,000 separate lender financing; additional member loans tied to assessment waivers</t>
  </si>
  <si>
    <t>State appellate litigation / HOA did not establish claimed common-element ownership against lenders</t>
  </si>
  <si>
    <t>North Carolina Court of Appeals / Justia</t>
  </si>
  <si>
    <t>The Mountain Club Association, Inc. v. The Mountain Club at Cashiers, LLC</t>
  </si>
  <si>
    <t>Highest-priority developer financing + assessment-waiver + amenity-collateral case</t>
  </si>
  <si>
    <t>The financing facts are documented; they are not themselves criminal findings. The HOA's property/common-element theories did not fully prevail against the lenders.</t>
  </si>
  <si>
    <t>E332</t>
  </si>
  <si>
    <t>HOA versus lot owner relying on developer amendment</t>
  </si>
  <si>
    <t>Geist Lake Forest Property Owners Association; Taso's Toy's LLC; original developer</t>
  </si>
  <si>
    <t>Developer/declarant / unilateral amendment / lot-specific exemption</t>
  </si>
  <si>
    <t>DEVELOPER CONTROL + EXEMPTION — developer attempted to exempt one lot from all restrictions before declarant rights expired</t>
  </si>
  <si>
    <t>The original developer and a lot owner recorded an amendment purporting to exempt one lot from all subdivision restrictions. Years later the successor owner relied on that exemption. The Indiana Court of Appeals held the amendment invalid because the governing documents did not permit the developer to create the exemption in that manner and because declarant rights had expired.</t>
  </si>
  <si>
    <t>State appellate ruling / developer-created exemption invalidated</t>
  </si>
  <si>
    <t>Geist Lake Forest Property Owners Association v. Taso's Toy's, LLC</t>
  </si>
  <si>
    <t>High-priority unequal-rule/declarant-amendment case</t>
  </si>
  <si>
    <t>Adjudicated invalidity of the exemption mechanism; not a fraud case.</t>
  </si>
  <si>
    <t>E333</t>
  </si>
  <si>
    <t>Countryside Community Association; Pulte Home Corporation</t>
  </si>
  <si>
    <t>Developer / unsold lots / HOA maintenance costs / assessments</t>
  </si>
  <si>
    <t>DEVELOPER CONTROL + ASSESSMENT ALLOCATION — HOA sought $400,000+ for maintenance of developer property; court held developer not liable under structure</t>
  </si>
  <si>
    <t>The Countryside HOA sought more than $400,000 in past-due assessments for maintenance costs it paid while Pulte still owned and developed lots. The Colorado Supreme Court held the developer's properties were not yet part of the common-interest community under the statutory/declaration structure and therefore Pulte was not liable for those assessments; the HOA also had no unjust-enrichment remedy.</t>
  </si>
  <si>
    <t>More than $400,000 claimed by HOA</t>
  </si>
  <si>
    <t>State supreme court / developer prevailed; assessment obligation rejected</t>
  </si>
  <si>
    <t>Pulte Home Corp. v. Countryside Community Association, Inc.</t>
  </si>
  <si>
    <t>Highest-priority 'law allowed developer nonpayment' assessment case</t>
  </si>
  <si>
    <t>This is a key policy case because the challenged cost allocation existed, but the state's highest court held the developer was not contractually/statutorily liable under the community-formation structure.</t>
  </si>
  <si>
    <t>E334</t>
  </si>
  <si>
    <t>Sub-developer versus HOA</t>
  </si>
  <si>
    <t>Friends of Tuhaye; Tuhaye HOA; Tuhaye LLC</t>
  </si>
  <si>
    <t>Sub-developer / declarant exemption / HOA assessments</t>
  </si>
  <si>
    <t>DEVELOPER CONTROL + ASSESSMENTS — sub-developer argued it shared declarant-style exemption from assessments</t>
  </si>
  <si>
    <t>Friends of Tuhaye, a sub-developer owning eight partially developed lots, argued the community's assessments did not apply until homes were completed and sold and that its developer status effectively exempted it. The Tenth Circuit rejected that argument, holding the covenants exempted only the named Declarant and required all other owners, including the sub-developer, to pay assessments. The HOA's judgment and fee award were affirmed.</t>
  </si>
  <si>
    <t>Eight lots; damages and attorney fees awarded to HOA, exact assessment total not central to the appellate summary</t>
  </si>
  <si>
    <t>Federal appellate ruling / HOA prevailed; sub-developer assessment liability enforced</t>
  </si>
  <si>
    <t>U.S. Court of Appeals for the Tenth Circuit / Justia</t>
  </si>
  <si>
    <t>Friends of Tuhaye v. Tuhaye Homeowners Association</t>
  </si>
  <si>
    <t>High-priority contrast case defining narrow declarant exemption</t>
  </si>
  <si>
    <t>Useful counterexample: the court did not extend a declarant exemption to a separate sub-developer merely because it was developing lots.</t>
  </si>
  <si>
    <t>E335</t>
  </si>
  <si>
    <t>Commercial lot owners versus developer-controlled HOA</t>
  </si>
  <si>
    <t>Swan Point Landing Community Association; Swan Point Landing LLC; Bay Flats Lodge owners</t>
  </si>
  <si>
    <t>Declarant weighted voting / special assessments / road-repair allocation</t>
  </si>
  <si>
    <t>DEVELOPER CONTROL + SPECIAL ASSESSMENT — declarant repeatedly extended control and changed assessment rules after road deterioration</t>
  </si>
  <si>
    <t>Swan Point's declarant had four votes per lot during the development period and repeatedly amended the declarations to extend that period. After roads deteriorated and an $879,600 repair plan emerged, the declarant-backed amendments changed special assessments from equal allocation to a usage-based formula and removed a prior prohibition on the Declarant voting on special assessments. The HOA levied about $694,931 against commercial-lot owners. The 2025 appellate court found the special-assessment amendment particularly troubling and invalidated that allocation while upholding other amendments.</t>
  </si>
  <si>
    <t>$879,600 road project; $694,931.40 special assessment against commercial owners</t>
  </si>
  <si>
    <t>State appellate ruling / mixed outcome; special-assessment allocation invalidated</t>
  </si>
  <si>
    <t>Texas Thirteenth Court of Appeals / Justia</t>
  </si>
  <si>
    <t>Swan Point Landing Community Association, Inc. v. Martin et al.</t>
  </si>
  <si>
    <t>Highest-priority developer voting + special-assessment case</t>
  </si>
  <si>
    <t>The court upheld several other amendments but rejected the special-assessment change, noting the timing suggested the declarant sought to avoid bearing the brunt of road costs.</t>
  </si>
  <si>
    <t>E336</t>
  </si>
  <si>
    <t>Homeowner versus HOA and developer</t>
  </si>
  <si>
    <t>Michael Kosor Jr.; Southern Highlands Community Association; Southern Highlands Development Corporation</t>
  </si>
  <si>
    <t>Developer/declarant / board appointment power / homeowner election rights</t>
  </si>
  <si>
    <t>DEVELOPER CONTROL — homeowner alleged 75% sales threshold had passed but developer still appointed majority of HOA board</t>
  </si>
  <si>
    <t>A Southern Highlands homeowner sued alleging the community had passed the 75% sales threshold that should end declarant control, yet the developer continued appointing three of five HOA directors. The developer disputed the sales calculation. The merits were never tried: after summary judgment was denied, the homeowner voluntarily sought dismissal, the case was dismissed with prejudice with fees, and the Nevada Supreme Court later addressed only whether pre-suit ADR was jurisdictional.</t>
  </si>
  <si>
    <t>Substantial fee awards referenced; no merits damages</t>
  </si>
  <si>
    <t>Procedural loss / merits unresolved; Nevada Supreme Court affirmed later jurisdiction ruling</t>
  </si>
  <si>
    <t>Nevada Supreme Court / Justia</t>
  </si>
  <si>
    <t>Kosor v. Southern Highlands Community Association</t>
  </si>
  <si>
    <t>High-value modern delayed-turnover allegation with procedural outcome</t>
  </si>
  <si>
    <t>Important outcome coding: this is not a finding that declarant control properly continued. The homeowner abandoned the merits before trial and the 2025 Supreme Court opinion addressed ADR/jurisdiction, not the sales-threshold dispute.</t>
  </si>
  <si>
    <t>E337</t>
  </si>
  <si>
    <t>Developer-versus-developer/HOA control dispute</t>
  </si>
  <si>
    <t>Eastside Bend LLC; Calaveras II LLC; Cottages at Village Park LLC; Calaveras HOA</t>
  </si>
  <si>
    <t>Original declarant / claimed successor declarant / HOA board and architectural control</t>
  </si>
  <si>
    <t>DEVELOPER CONTROL + SUCCESSOR RIGHTS — competing developers fought over who could appoint HOA director/ARC and exercise special declarant powers</t>
  </si>
  <si>
    <t>A failed development transaction left Eastside and Calaveras disputing who held special declarant rights. Eastside formed the HOA and appointed its member as the sole HOA director and architectural-review member, taking actions that disadvantaged other owners. The Oregon Court of Appeals held statutory transfer procedures are exclusive and that the supposed transfer to Calaveras did not satisfy them, emphasizing notice and clear allocation of declarant liabilities.</t>
  </si>
  <si>
    <t>State appellate ruling / extra-statutory transfer of special declarant rights rejected</t>
  </si>
  <si>
    <t>Oregon Court of Appeals / Justia</t>
  </si>
  <si>
    <t>Eastside Bend, LLC v. Calaveras II, LLC</t>
  </si>
  <si>
    <t>Highest-priority modern successor-declarant/HOA-control case</t>
  </si>
  <si>
    <t>This is primarily a control and legal-structure case. It is useful because the court expressly tied formal transfer rules to purchaser notice and clarity over who bears declarant obligations.</t>
  </si>
  <si>
    <t>E338</t>
  </si>
  <si>
    <t>HOA versus former declarant</t>
  </si>
  <si>
    <t>Blaylock's Glen HOA; Jones/former declarant</t>
  </si>
  <si>
    <t>Developer/declarant / common property turnover</t>
  </si>
  <si>
    <t>DEVELOPER CONTROL + COMMON PROPERTY — declarant failed to convey common areas when declarant rights ended</t>
  </si>
  <si>
    <t>Blaylock's Glen's declaration required the developer to convey common properties to the HOA by the time declarant rights ended. The last lot sold and declarant control ended in 2017, but the common areas were never transferred. After the HOA demanded conveyance, the former declarant refused. In 2026 the North Carolina Court of Appeals affirmed summary judgment quieting title for the HOA.</t>
  </si>
  <si>
    <t>No separate purchase price due; court noted evidence that common-area costs were factored into lot/home prices</t>
  </si>
  <si>
    <t>State appellate ruling / HOA prevailed; common property ordered to HOA</t>
  </si>
  <si>
    <t>Blaylock's Glen Homeowners Association, Inc. v. Jones</t>
  </si>
  <si>
    <t>Highest-priority post-turnover common-property case</t>
  </si>
  <si>
    <t>Adjudicated turnover/property result. Particularly useful for the policy question of whether developers can retain community assets after declarant rights end.</t>
  </si>
  <si>
    <t>E339</t>
  </si>
  <si>
    <t>HOA versus owners after developer annexation error</t>
  </si>
  <si>
    <t>Encino Ranch HOA; original developers; successor developer; Units 2-4 owners</t>
  </si>
  <si>
    <t>Developer/successor declarant / defective annexation / HOA assessment and covenant authority</t>
  </si>
  <si>
    <t>DEVELOPER CONTROL + DOCUMENT FAILURE — successor developer recorded annexation after it no longer owned lots, leaving decades-long HOA authority dispute</t>
  </si>
  <si>
    <t>Encino Ranch's original developers transferred remaining property and declarant rights to a successor. In 2003 the successor recorded an annexation document intended to bind Units 2-4, but it no longer owned those properties, making the annexation defective. The HOA's management company reportedly knew of the filing problem around that time. In 2026 the Texas Court of Appeals held the HOA's later declaratory claim was not time-barred at the interlocutory stage and remanded.</t>
  </si>
  <si>
    <t>State appellate ruling / HOA claim revived; merits of covenant/assessment authority unresolved</t>
  </si>
  <si>
    <t>Texas Fourth Court of Appeals / Justia</t>
  </si>
  <si>
    <t>Encino Ranch Homeowners Association, Inc. v. Santos et al.</t>
  </si>
  <si>
    <t>High-value developer-document/annexation failure with long-tail HOA consequences</t>
  </si>
  <si>
    <t>The 2026 ruling addressed limitations, not whether the owners are ultimately bound by the HOA. Included because a developer-era filing defect created a decades-long governance/assessment uncertainty.</t>
  </si>
  <si>
    <t>E340</t>
  </si>
  <si>
    <t>HOA versus developer and developer-appointed directors</t>
  </si>
  <si>
    <t>Grand Harbor Community Association; GH Vero Beach Development LLC; developer-appointed directors</t>
  </si>
  <si>
    <t>Developer-controlled board / reserve funding / developer deficit obligation</t>
  </si>
  <si>
    <t>DEVELOPER CONTROL + RESERVES/DEFICIT — HOA alleged reserves were not funded and developer-owned units were undercounted, reducing developer contributions</t>
  </si>
  <si>
    <t>After turnover, Grand Harbor sued over years in which the developer controlled the board, alleging inadequate reserves and undercounting of developer-owned units that reduced the developer's deficit-funding obligation. The Florida appellate court affirmed summary judgment against the HOA on reserve-funding and fiduciary-duty theories because the declaration placed reserve budgeting on the board and no bad faith was shown, but revived the contract claim that the developer may have underpaid its direct deficit obligation through unit undercounting.</t>
  </si>
  <si>
    <t>Developer deficit contributions allegedly underpaid; exact amount to be determined</t>
  </si>
  <si>
    <t>State appellate ruling / mixed outcome; reserve claims lost, developer-payment claim revived</t>
  </si>
  <si>
    <t>Grand Harbor Community Association, Inc. v. GH Vero Beach Development, LLC</t>
  </si>
  <si>
    <t>Highest-priority modern developer reserve/deficit-funding case</t>
  </si>
  <si>
    <t>Important distinction: the court did not find bad-faith reserve underfunding. It did hold that undercounting developer units could support a breach claim because the developer itself owed the operating-deficit contribution.</t>
  </si>
  <si>
    <t>E341</t>
  </si>
  <si>
    <t>HOA versus golf-course owner/developer successor</t>
  </si>
  <si>
    <t>Creekside Homeowners Association; Creekside Golf Course LLC; predecessor developers</t>
  </si>
  <si>
    <t>Developer-drafted CC&amp;Rs / privately owned golf course / conversion rights</t>
  </si>
  <si>
    <t>DEVELOPER STRUCTURE + AMENITY CONVERSION — governing documents gave golf-course owner exclusive power to discontinue course and convert property</t>
  </si>
  <si>
    <t>Creekside homeowners sought to prevent conversion of the community golf course to residential development, relying on the community's golf-course character and alleged developer promises. The Oregon Court of Appeals held the CC&amp;Rs expressly gave the declarant/golf-course owner broad power to discontinue or convert the course, said owners assumed risks to views/property values from changes, and affirmed judgment allowing conversion. The HOA also failed to prove an equitable servitude based on marketing promises.</t>
  </si>
  <si>
    <t>State appellate ruling / HOA lost; developer-created amenity-conversion power upheld</t>
  </si>
  <si>
    <t>Creekside Homeowners Association v. Creekside Golf Course</t>
  </si>
  <si>
    <t>Highest-priority 'law allowed it' private-amenity conversion case</t>
  </si>
  <si>
    <t>This is a major policy example: the troubling structure was not hidden misconduct; the recorded documents expressly reserved the power and the court enforced it.</t>
  </si>
  <si>
    <t>E342</t>
  </si>
  <si>
    <t>HOA versus developer entities</t>
  </si>
  <si>
    <t>Fairways at Buffalo Run HOA; FD Interests; Fairways developer entities</t>
  </si>
  <si>
    <t>Developer entities / title chain / HOA maintenance and common roads</t>
  </si>
  <si>
    <t>DEVELOPER STRUCTURE + COMMON-AREA COSTS — title/declaration errors left HOA maintaining entire property while developer retained undeveloped land</t>
  </si>
  <si>
    <t>Multiple related developer entities created the Fairways community through a confused chain of deeds, plats and declarations, including a declarant that did not own the property when it recorded the CCR. After the first home sale, the HOA paid upkeep and maintenance costs for the entire property while developer entities continued owning undeveloped portions. Litigation ultimately resulted in the roads being conveyed to the HOA; the Colorado Court of Appeals affirmed the judgment and held the HOA was the prevailing party.</t>
  </si>
  <si>
    <t>HOA paid maintenance on entire property for years; exact aggregate amount not stated in opinion</t>
  </si>
  <si>
    <t>State appellate ruling / HOA prevailed on significant property/common-road issues</t>
  </si>
  <si>
    <t>Colorado Court of Appeals / Justia</t>
  </si>
  <si>
    <t>FD Interests v. Fairways at Buffalo Run</t>
  </si>
  <si>
    <t>High-value developer title/common-cost structure case</t>
  </si>
  <si>
    <t>Not a fraud finding. Included because developer-entity title errors and phased development produced a situation where the HOA bore maintenance responsibilities while ownership remained fragmented.</t>
  </si>
  <si>
    <t>E343</t>
  </si>
  <si>
    <t>Riverbend Highlands homeowners; Vista NC Limited Partnership</t>
  </si>
  <si>
    <t>Developer/declarant / unilateral amendment / utility easement and cell tower</t>
  </si>
  <si>
    <t>DEVELOPER CONTROL + UTILITY RIGHTS — developer amended declaration to expand utility authority and permit cell tower near homes</t>
  </si>
  <si>
    <t>Riverbend Highlands homeowners challenged a 2016 developer amendment used to support a cellular tower on property within the subdivision. They argued the amendment gave Vista extremely broad utility/easement powers and harmed nearby lots. The North Carolina Court of Appeals held Vista had authority to amend the declaration and that the amendment was reasonable because the original documents contemplated telecommunications and utility changes needed to serve the community.</t>
  </si>
  <si>
    <t>State appellate ruling / homeowners lost; developer amendment upheld</t>
  </si>
  <si>
    <t>Poovey v. Vista NC Limited Partnership</t>
  </si>
  <si>
    <t>High-value 'law allowed developer amendment' utility-control case</t>
  </si>
  <si>
    <t>No finding of misconduct. This belongs in the policy category showing the extent of amendment/easement authority courts may enforce in favor of a declarant.</t>
  </si>
  <si>
    <t>E344</t>
  </si>
  <si>
    <t>Class action homeowners versus developer</t>
  </si>
  <si>
    <t>Solivita homeowners; Avatar Properties, Inc.; AV Homes, Inc.; Solivita Community Association</t>
  </si>
  <si>
    <t>Developer / mandatory private club / perpetual club fees / developer-owned amenities</t>
  </si>
  <si>
    <t>DEVELOPER CONTROL + MANDATORY CLUB PROFIT — homeowners challenged mandatory fees paid to developer-owned private club facilities</t>
  </si>
  <si>
    <t>Solivita homeowners challenged a developer-created structure requiring membership in both the HOA and a separate Club Plan. Court records describe Club amenities as exclusively owned by Avatar Properties and allegations that a Club membership component was collected as profit rather than facility expense. The litigation produced class certification and later merits proceedings; by 2026 an official class-action administrator reported a pending joint motion for approval and final distribution.</t>
  </si>
  <si>
    <t>Thousands of homeowners; court records describe mandatory club fees; later litigation involved substantial class recovery/distribution</t>
  </si>
  <si>
    <t>Class action / developer challenged statutory applicability; litigation proceeded; 2026 distribution proceedings</t>
  </si>
  <si>
    <t>Florida Second District Court of Appeal + official class-action administrator</t>
  </si>
  <si>
    <t>Gundel v. AV Homes, Inc. / Avatar Properties, Inc.</t>
  </si>
  <si>
    <t>Highest-priority mandatory developer-owned amenity/recurring-revenue case</t>
  </si>
  <si>
    <t>Keep outcome conservative in this row: the 2020 appellate opinion primarily addressed class certification and statutory issues. The official 2026 administrator confirms continuing distribution proceedings. Do not describe allegations as proven beyond the specific rulings.</t>
  </si>
  <si>
    <t>E345</t>
  </si>
  <si>
    <t>HOA versus developer-related individuals/entities</t>
  </si>
  <si>
    <t>Lake Shore Harbour Community Association; Saratoga Homes; Rick Rivas; developer-controlled HOA board</t>
  </si>
  <si>
    <t>Developer-controlled board / reserve and engineering reports / delayed disclosure / massive repair assessment</t>
  </si>
  <si>
    <t>DEVELOPER CONTROL + CONCEALED INFRASTRUCTURE RISK — HOA alleged developer-controlled board knew of bulkhead deterioration years before owners learned</t>
  </si>
  <si>
    <t>Lake Shore alleged its developer-controlled board received engineering information about continuing bulkhead deterioration, commissioned a 2016 inspection documenting serious problems, failed to act, and did not disclose the reports to homeowners until a 2019 assessment effort. Homeowners gained board control in 2021. A later engineering report attributed problems to design/construction deficiencies and a contractor estimated replacement at approximately $23 million. The appellate proceeding involving former developer-board member Rick Rivas addressed individual fraud/misrepresentation claims.</t>
  </si>
  <si>
    <t>Approximately $23,000,000 replacement estimate</t>
  </si>
  <si>
    <t>Texas appellate litigation / allegations against individual developer-board participant reviewed; broader HOA litigation ongoing in record</t>
  </si>
  <si>
    <t>Texas First Court of Appeals / Justia</t>
  </si>
  <si>
    <t>Rick Rivas v. Lake Shore Harbour Community Association</t>
  </si>
  <si>
    <t>Highest-priority developer-control + hidden reserve/infrastructure liability case</t>
  </si>
  <si>
    <t>The $23M figure is a contractor estimate, not a judgment. Allegations of concealment and misrepresentation must remain allegations except where specifically adjudicated. This case is valuable for the sequence: developer control → engineering knowledge → delayed homeowner disclosure → major repair exposure.</t>
  </si>
  <si>
    <t>E346</t>
  </si>
  <si>
    <t>Homeowner versus developer-controlled HOA and developer principal</t>
  </si>
  <si>
    <t>Kenoza Lake Development LLC; Marc Dubrovsky; Kenoza Lake Estates HOA; Jonathan Burwick; Green Earth Companies Northeast LLC; R&amp;H Gorr</t>
  </si>
  <si>
    <t>Developer principal / HOA board control / related-party property-management vendors / legal-fee liens</t>
  </si>
  <si>
    <t>DEVELOPER CONTROL + RELATED-PARTY MANAGEMENT — court found developer principal lacked authority to keep controlling board after lots were sold</t>
  </si>
  <si>
    <t>A homeowner alleged developer principal Marc Dubrovsky wrongfully continued controlling the HOA board after April 2016, reduced the board size, appointed directors without a vote, caused the HOA to hire companies owned by himself and another board member for property-management services, and imposed liens for legal fees arising from disputes with him. In September 2023, the court found Dubrovsky lacked authority under the bylaws to remain president or appoint directors after April 2016 and held actions taken after the developer no longer held the qualifying ownership interest were ultra vires.</t>
  </si>
  <si>
    <t>Financial self-dealing and related-party management alleged; legal-fee liens challenged; amounts not central to ruling</t>
  </si>
  <si>
    <t>New York Supreme Court / partial summary judgment finding developer control unauthorized</t>
  </si>
  <si>
    <t>New York Supreme Court, Sullivan County / FindLaw</t>
  </si>
  <si>
    <t>Burwick v. Dubrovsky et al., Index No. E2021-1345</t>
  </si>
  <si>
    <t>Highest-priority developer + related-party property-management case</t>
  </si>
  <si>
    <t>The court's control ruling is adjudicated. The allegations that related-party management contracts enriched Dubrovsky were part of the homeowner's claims; do not convert every self-dealing allegation into a merits finding unless separately established.</t>
  </si>
  <si>
    <t>E347</t>
  </si>
  <si>
    <t>Homeowner/HOA / Court Record</t>
  </si>
  <si>
    <t>Homeowner and later HOA versus developer and property manager</t>
  </si>
  <si>
    <t>Columbia Reserve HOA; Columbia Reserve Ltd.; Barnett Management; Jack Hall</t>
  </si>
  <si>
    <t>Developer control / property-management company / management agreement / turnover</t>
  </si>
  <si>
    <t>DEVELOPER + MANAGEMENT CONTROL — homeowner sued to force developer turnover and alleged manager mismanagement; later HOA continued challenge</t>
  </si>
  <si>
    <t>A Columbia Reserve owner sued the developer and Barnett Management in 2018 seeking to compel developer relinquishment of HOA control and alleging management misconduct. A second 2021 suit also challenged Barnett's management activities. After the homeowner was elected HOA president in 2022, the HOA retained his counsel to continue the owners' efforts. Barnett then sued the HOA under the 2015 management agreement for indemnification/legal expenses. The underlying Lorain County developer/management cases settled and were dismissed with prejudice in December 2022.</t>
  </si>
  <si>
    <t>Management indemnification/legal-expense claim; underlying settlement terms not stated in appellate opinion</t>
  </si>
  <si>
    <t>Underlying developer/manager suits settled and dismissed; later appellate ruling reversed attorney disqualification</t>
  </si>
  <si>
    <t>Ohio Eighth District Court of Appeals / Justia</t>
  </si>
  <si>
    <t>Barnett Management v. Columbia Reserve Homeowners Association</t>
  </si>
  <si>
    <t>Highest-priority manager-versus-HOA/developer-turnover crossover</t>
  </si>
  <si>
    <t>No merits finding of management misconduct in this appellate opinion. Included because it documents homeowner litigation to end developer control, challenges to the property manager, later HOA adoption of that effort, and a manager suit against the HOA under the management contract.</t>
  </si>
  <si>
    <t>E348</t>
  </si>
  <si>
    <t>Developer/subdeveloper versus HOA, declarant and management company</t>
  </si>
  <si>
    <t>SAWS at Seven Hills LLC; Forestar Realty Inc.; Seven Hills HOA; Fieldstone Association Management; Berkshire Hathaway HomeServices Georgia</t>
  </si>
  <si>
    <t>Declarant / HOA / management company / assessment allocation / common-area maintenance / sales information</t>
  </si>
  <si>
    <t>DEVELOPER + MANAGEMENT ECOSYSTEM — subdeveloper challenged HOA assessments, common-area obligations and alleged sales interference</t>
  </si>
  <si>
    <t>SAWS acquired a large portion of Seven Hills after a prior developer bankruptcy and later sued the HOA, declarant Forestar, and Fieldstone Association Management over assessment calculations, maintenance of common areas, amended declarations and alleged interference with prospective homebuyers. The Georgia Court of Appeals addressed cross-motions for summary judgment and held that several disputed declaration provisions were unambiguous, reversing portions of the trial court's rulings while other claims remained.</t>
  </si>
  <si>
    <t>Large multi-phase development; disputed assessments and maintenance obligations, no single amount central to opinion</t>
  </si>
  <si>
    <t>State appellate litigation / mixed summary-judgment outcome</t>
  </si>
  <si>
    <t>SAWS at Seven Hills, LLC v. Forestar Realty, Inc. et al.</t>
  </si>
  <si>
    <t>High-priority declarant + named management-company financial/governance dispute</t>
  </si>
  <si>
    <t>This is developer-versus-developer/subdeveloper litigation, not a homeowner fraud finding. Included because Fieldstone Association Management and the declarant were materially involved in HOA assessment/common-area administration and alleged market-facing conduct.</t>
  </si>
  <si>
    <t>E349</t>
  </si>
  <si>
    <t>MetroClub Condominium Association; 201-59 North Eighth Street Associates LP</t>
  </si>
  <si>
    <t>Developer/declarant / limited common-element parking / continuing revenue and control after board turnover</t>
  </si>
  <si>
    <t>DEVELOPER CONTROL + PARKING REVENUE — developer retained unallocated common-element parking after board control ended</t>
  </si>
  <si>
    <t>MetroClub's developer sold condominium units while separately assigning parking spaces for additional fees. After the declarant-control period ended, the developer still owned 17 units and retained control of unallocated parking spaces that were limited common elements, including the ability to lease or later allocate them. The Association argued control should pass to the owner board. The Pennsylvania Superior Court affirmed judgment for the declarant, holding the declaration and condominium statute permitted the retained parking rights.</t>
  </si>
  <si>
    <t>130 units; parking spaces marketed/assigned for additional fees; retained spaces potentially leasable</t>
  </si>
  <si>
    <t>State appellate ruling / developer prevailed; retained parking control upheld</t>
  </si>
  <si>
    <t>Pennsylvania Superior Court / Justia</t>
  </si>
  <si>
    <t>MetroClub Condominium Association v. 201-59 N. 8th St. Associates, L.P.</t>
  </si>
  <si>
    <t>Highest-priority 'law allowed it' post-turnover developer revenue/control case</t>
  </si>
  <si>
    <t>This is a clean policy example: developer control of the board ended, but a separate developer-created property/revenue right survived and was upheld by the court.</t>
  </si>
  <si>
    <t>E350</t>
  </si>
  <si>
    <t>HOA versus developer-created club/property owner</t>
  </si>
  <si>
    <t>Fairway Pines Estates Owners Association; Clubhouse at Fairway Pines LLC; original/current developers</t>
  </si>
  <si>
    <t>Developer-created mandatory club dues / privately owned clubhouse / HOA collection obligation</t>
  </si>
  <si>
    <t>DEVELOPER STRUCTURE + MANDATORY CLUB DUES — declaration required HOA to collect dues for privately owned golf/club facility</t>
  </si>
  <si>
    <t>Fairway Pines' declaration required owners to be members of the golf course and club and required dues to be assessed and collected by the HOA. The original developer failed and transferred the temporary clubhouse lot to its lender; a later private owner continued providing club services while a different developer owned the intended permanent clubhouse lot. The private clubhouse owner sued to force the HOA to collect club dues for its benefit, illustrating how developer-created mandatory amenity obligations survived changes in ownership.</t>
  </si>
  <si>
    <t>Mandatory club dues; exact aggregate amount not central to appellate opinion</t>
  </si>
  <si>
    <t>State appellate litigation over enforceability/beneficiary of developer-created club-dues obligation</t>
  </si>
  <si>
    <t>Colorado Court of Appeals / FindLaw</t>
  </si>
  <si>
    <t>Clubhouse at Fairway Pines, L.L.C. v. Fairway Pines Estates Owners Association</t>
  </si>
  <si>
    <t>High-priority mandatory private-amenity payment structure</t>
  </si>
  <si>
    <t>Not a fraud case. Included because the developer-created declaration obligated homeowners/HOA to financially support a privately owned amenity even after the original development structure fractured.</t>
  </si>
  <si>
    <t>E351</t>
  </si>
  <si>
    <t>Louisiana</t>
  </si>
  <si>
    <t>Faubourg Saint Charles HOA; Faubourg Saint Charles LLC; Roland von Kurnatowski</t>
  </si>
  <si>
    <t>Developer-operated HOA / claimed developer advances / owner assessments after turnover</t>
  </si>
  <si>
    <t>DEVELOPER CONTROL + POST-TURNOVER REIMBURSEMENT CLAIM — developer sought repayment of operating expenses it said it advanced while managing HOA</t>
  </si>
  <si>
    <t>The developer created the condominium and HOA in 2006 but operated and managed the property itself until the HOA became fully functional in late 2016. After the HOA successfully sued the developer for assessments owed on a developer-owned unit, the developer sued the HOA seeking reimbursement for approximately $109,688 it claimed to have advanced for association operations from 2012 through 2016, including insurance, utilities, maintenance, payroll and administrative expenses.</t>
  </si>
  <si>
    <t>Approximately $109,688.20 claimed developer advances</t>
  </si>
  <si>
    <t>Louisiana appellate litigation over developer reimbursement claim and procedural issues</t>
  </si>
  <si>
    <t>Louisiana Fourth Circuit Court of Appeal / Justia</t>
  </si>
  <si>
    <t>Faubourg Saint Charles, LLC v. Faubourg Saint Charles Homeowners Association, Inc.</t>
  </si>
  <si>
    <t>High-priority developer-financing/accounting-after-turnover case</t>
  </si>
  <si>
    <t>The claimed advances are the developer's asserted expenses, not a finding that the HOA owed them. Included because the developer operated the association for roughly a decade and later sought six figures from the owner-controlled HOA.</t>
  </si>
  <si>
    <t>E352</t>
  </si>
  <si>
    <t>Homeowners versus developer-controlled HOA</t>
  </si>
  <si>
    <t>Fortebello homeowners; Fortebello HOA; SPC Fortebello LLC; SPC Homes Inc.; developer entities</t>
  </si>
  <si>
    <t>Developer-controlled HOA / governing-document amendments / turnover / short-term rental policy</t>
  </si>
  <si>
    <t>DEVELOPER CONTROL + DOCUMENT AMENDMENT — court found developer-controlled association invalidly amended governing documents</t>
  </si>
  <si>
    <t>Present and former Fortebello homeowners obtained a temporary injunction in litigation against the developer-controlled HOA and developer entities. The appellate opinion states that the trial court correctly concluded the developer-controlled association had invalidly amended the governing documents to allow short-term rentals; that merits conclusion was not challenged on appeal. The appellate court nevertheless reversed the injunction order because it lacked required findings and directed the trial court to reassess injunctive relief and any turnover requirement.</t>
  </si>
  <si>
    <t>Trial-court invalidity finding unchallenged; temporary injunction reversed/remanded for procedural deficiencies</t>
  </si>
  <si>
    <t>Florida Fifth District Court of Appeal / Justia</t>
  </si>
  <si>
    <t>SPC Fortebello, LLC et al. v. Catuogno et al.</t>
  </si>
  <si>
    <t>High-priority developer-controlled amendment/turnover case</t>
  </si>
  <si>
    <t>Do not describe the appellate reversal as vindicating the developer on the amendment. The opinion expressly notes the developer-controlled HOA did not challenge the conclusion that the short-term-rental amendment was invalid.</t>
  </si>
  <si>
    <t>E353</t>
  </si>
  <si>
    <t>Industry Professional / Governing Document</t>
  </si>
  <si>
    <t>Recorded master declaration / developer-created governance structure</t>
  </si>
  <si>
    <t>Laureate Park Master Association; Lake Nona Laureate Park LLC / Declarant; Neighborhood Voting Representatives</t>
  </si>
  <si>
    <t>Master-plan declarant / Class B governance / voting representatives / amendment and termination rights</t>
  </si>
  <si>
    <t>DEVELOPER STRUCTURE + 75-YEAR RIGHTS — recorded declaration reserves categories of declarant rights for up to 75 years and makes declaration termination extraordinarily difficult</t>
  </si>
  <si>
    <t>The Laureate Park master declaration states that rights contained in Article X terminate on the earlier of 75 years after recording or a declarant-recorded termination statement. The declaration itself runs for 75 years and then automatically renews in successive 10-year periods. Termination within the first 75 years requires 100% of Neighborhood Voting Representatives, and while the Declarant owns any portion of the property, termination also requires the Declarant's written approval. The bylaws separately reserve substantial governance powers during the Declarant Control Period and allow a minority of Board seats to remain declarant-appointed afterward while the Declarant still holds at least 5% of parcels for sale.</t>
  </si>
  <si>
    <t>No misconduct amount; 75-year Article X rights and declaration term documented</t>
  </si>
  <si>
    <t>Recorded governing-document mechanism / no allegation of wrongdoing</t>
  </si>
  <si>
    <t>Laureate Park Master Association governing documents</t>
  </si>
  <si>
    <t>Master Declaration of Covenants, Conditions, Restrictions and Easements for Laureate Park Master Association, Inc.</t>
  </si>
  <si>
    <t>Highest-priority 75-year developer-rights/governance mechanism</t>
  </si>
  <si>
    <t>Do NOT characterize this row as proving 75 years of uninterrupted board control. The document clearly gives Article X rights a potential 75-year duration and sets a 75-year declaration term with automatic renewals; the Declarant Control Period is separately defined. This is mechanism/document evidence, not a lawsuit or wrongdoing finding.</t>
  </si>
  <si>
    <t>E355</t>
  </si>
  <si>
    <t>Condominium association versus developer and affiliated management/rental company</t>
  </si>
  <si>
    <t>Alabama</t>
  </si>
  <si>
    <t>Phoenix on the Bay II Owners Association; Brett/Robinson Gulf Corporation; Brett Real Estate; Robinson Development; developer principals</t>
  </si>
  <si>
    <t>Developer / affiliated management-rental company / purported commercial units / condominium common expenses</t>
  </si>
  <si>
    <t>DEVELOPER + AFFILIATED MANAGEMENT — developer created commercial units for affiliate to operate rental-management business and deeded them immediately before HOA terminated management</t>
  </si>
  <si>
    <t>Phoenix on the Bay II was developed by principals who also owned Brett Real Estate and affiliated Brett/Robinson Gulf Corporation, the condominium's management/rental company. The record states the developers intended commercial units to support Brett/Robinson's rental-management operations and conveyed the disputed check-in, maintenance, housekeeping and sales-office units to Brett/Robinson immediately before the Association terminated its management agreement in July 2015. The trial court ruled the units invalid and awarded substantial fees to the Association, but the Alabama Supreme Court reversed, holding the units were validly created and remanding.</t>
  </si>
  <si>
    <t>Trial court had awarded $233,083.68 attorney fees + $60,019.57 expenses before reversal</t>
  </si>
  <si>
    <t>Alabama Supreme Court / developer-affiliate prevailed on validity of commercial units</t>
  </si>
  <si>
    <t>Supreme Court of Alabama / Justia</t>
  </si>
  <si>
    <t>Brett/Robinson Gulf Corp. v. Phoenix on the Bay II Owners Association, Inc.</t>
  </si>
  <si>
    <t>Highest-priority developer + affiliated management/perpetual-business structure</t>
  </si>
  <si>
    <t>The Supreme Court reversal means the Association's trial-court victory on unit validity did not stand. Do not characterize alleged fraudulent conduct as proven. The structural facts—overlapping ownership, management role, unit conveyance timing and business purpose—are documented.</t>
  </si>
  <si>
    <t>E356</t>
  </si>
  <si>
    <t>HOAs versus directors and related lender</t>
  </si>
  <si>
    <t>Broughton Maintenance Association; Old Grove Maintenance Association; Whittier Heights Maintenance Association; David and Susan Bagwell; Sister Initiative LLC</t>
  </si>
  <si>
    <t>HOA directors / related-party lender owned by directors' daughters / future assessment liens</t>
  </si>
  <si>
    <t>FINANCING + SELF-DEALING — directors caused HOAs to borrow about $120,000 from family-owned lender; loans voided</t>
  </si>
  <si>
    <t>Three HOA boards obtained a series of loans from Sister Initiative, an entity owned by the directors' daughters and managed by one of the directors. The trial court found the loans were not properly authorized, were unfair to the HOAs, were used as a conduit to benefit the directors and family businesses, and left the HOAs liable for repayment secured by future assessments. The loans totaled about $120,000. The appellate court upheld the core findings that the Sister Initiative loans were invalid and unenforceable and upheld the fiduciary-duty framework and recovery.</t>
  </si>
  <si>
    <t>Approximately $120,000 related-party loans; HOAs recovered amounts repaid on Sister Initiative loans</t>
  </si>
  <si>
    <t>Trial findings of self-dealing/fiduciary breach; appellate court upheld core relief</t>
  </si>
  <si>
    <t>Texas Second Court of Appeals / Justia</t>
  </si>
  <si>
    <t>Sister Initiative, LLC v. Broughton Maintenance Association, Inc. et al.</t>
  </si>
  <si>
    <t>Highest-priority related-party HOA financing case</t>
  </si>
  <si>
    <t>Not primarily a developer case, but directly responsive to CASA's Loans/Special Assessments/Financing lane. Another lender's loans were enforced, underscoring that the result turned on the related-party authorization/fairness problems rather than a rule that HOA borrowing itself was improper.</t>
  </si>
  <si>
    <t>E357</t>
  </si>
  <si>
    <t>Condominium association and owners versus declarant</t>
  </si>
  <si>
    <t>Connecticut</t>
  </si>
  <si>
    <t>Pasco Common Condominium Association; Benson Companies; John Benson; restaurant unit owner</t>
  </si>
  <si>
    <t>Declarant / association financial control / assessment formulas / management fees / undisclosed exemption</t>
  </si>
  <si>
    <t>DEVELOPER CONTROL + FINANCIAL MISALLOCATION — court record documents improper assessments, undisclosed restaurant exemption and association spending under declarant control</t>
  </si>
  <si>
    <t>The Connecticut appellate record states John Benson controlled the declarant and association for years, set budgets and common charges, and conducted association business. It states assessments were improperly calculated, a restaurant unit received an undisclosed exemption from common charges, and association funds were used for repairs, management fees, vehicle expenses and paving. The appellate court held declarant control legally ended in 2008 under the declaration's ten-year limit, affecting the statute-of-limitations analysis; many claims were therefore time-barred even though the underlying conduct was extensively documented.</t>
  </si>
  <si>
    <t>Amounts vary; improper common-charge allocation and expenditures documented</t>
  </si>
  <si>
    <t>State appellate ruling / many claims time-barred; court established 10-year maximum control period</t>
  </si>
  <si>
    <t>Connecticut Appellate Court / Justia</t>
  </si>
  <si>
    <t>Pasco Common Condominium Association, Inc. v. Benson</t>
  </si>
  <si>
    <t>Highest-priority developer financial-control + procedural-loss case</t>
  </si>
  <si>
    <t>Important outcome distinction: the opinion documents the challenged practices but resolves significant claims on limitations/control-period grounds. Do not say every alleged financial act resulted in liability.</t>
  </si>
  <si>
    <t>E358</t>
  </si>
  <si>
    <t>Condominium association versus developer/affiliate</t>
  </si>
  <si>
    <t>Arrabelle at Vail Square Residential Condominium Association; Arrabelle at Vail Square LLC; Vail Resorts</t>
  </si>
  <si>
    <t>Declarant / affiliate-owned project facilities / cost-allocation agreement / amenities</t>
  </si>
  <si>
    <t>DEVELOPER CONTROL + COST SHIFTING — court found developer's expense formula discriminated in its own favor and shifted roughly 60% of costs to residents</t>
  </si>
  <si>
    <t>The Arrabelle court found Vail Resorts, acting as both declarant and project owner, excluded substantial developer-owned areas from the cost-allocation calculation and thereby inflated the Association's share of project operating costs to 59.7%. The court concluded the allocation discriminated in favor of Vail Resorts, was unconscionable, and violated Colorado common-interest law. It reformed the allocation based on as-built square footage to 49.1%, struck the amenity access fee and ordered creation of a master association.</t>
  </si>
  <si>
    <t>Association allocation reduced from 59.7% to 49.1%; developer-owned areas of 70,000+ sq. ft. discussed</t>
  </si>
  <si>
    <t>Trial findings upheld on appeal / contract reformation and cost-allocation correction</t>
  </si>
  <si>
    <t>Arrabelle at Vail Square Residential Condominium Association, Inc. v. Arrabelle at Vail Square LLC</t>
  </si>
  <si>
    <t>Highest-priority adjudicated developer cost-shifting case</t>
  </si>
  <si>
    <t>The appellate court expressly upheld findings that the allocation discriminated in favor of the declarant and was unconscionable. This is stronger than a complaint-level funding dispute.</t>
  </si>
  <si>
    <t>E359</t>
  </si>
  <si>
    <t>Homeowners versus developers and POA</t>
  </si>
  <si>
    <t>Seascape at Holden Plantation homeowners; Seascape developers; Seascape POA</t>
  </si>
  <si>
    <t>Developer-appointed executive board / homeowner derivative rights / property-management agreement</t>
  </si>
  <si>
    <t>DEVELOPER CONTROL + ACCESS TO REMEDY — owners argued developer-controlled board could 'give away the store'; court said statutory structure allowed developer control</t>
  </si>
  <si>
    <t>Seascape homeowners sought to pursue derivative claims while the property owners association remained under developer-appointed board control. The North Carolina Court of Appeals rejected a rule that would let homeowners automatically bypass the board during developer control and held the developers were statutorily entitled to include a declarant-control period. The court acknowledged owners' concern that a developer-appointed board might 'give away the store' but concluded existing corporate/statutory safeguards were sufficient.</t>
  </si>
  <si>
    <t>State appellate ruling / homeowners lost standing argument; developer-control structure upheld</t>
  </si>
  <si>
    <t>Anderson v. Seascape at Holden Plantation, LLC</t>
  </si>
  <si>
    <t>High-priority 'law allowed it' developer-control/access-to-remedy case</t>
  </si>
  <si>
    <t>This case is important for policy, not misconduct. The court expressly recognized the conflict concern but declined to create a special homeowner derivative rule beyond the legislature's framework.</t>
  </si>
  <si>
    <t>E360</t>
  </si>
  <si>
    <t>Homeowners/HOA versus developer and affiliate utility provider</t>
  </si>
  <si>
    <t>La Ventana Ranch Owners Association; Driftwood Development LP; La Ventana Water Company; homeowners</t>
  </si>
  <si>
    <t>Developer-controlled board and architectural committee / developer-affiliated water provider / utility restrictions</t>
  </si>
  <si>
    <t>DEVELOPER CONTROL + AFFILIATED UTILITY — developer controlled board/ARC while residents alleged monopoly water service and sought private wells</t>
  </si>
  <si>
    <t>At La Ventana, developer Driftwood retained authority to appoint a majority of the HOA board and all architectural-committee members. Water service came from La Ventana Water Company, composed of the same constituent members as Driftwood. Residents experiencing shortages, low pressure and unsafe water described the arrangement as monopoly control and obtained ARC variances for private wells; residents also cited high propane prices. Litigation followed over whether those variances were valid. The Texas appellate court issued a mixed decision on the variances and fiduciary questions.</t>
  </si>
  <si>
    <t>No central aggregate amount; utility pricing/service complaints documented</t>
  </si>
  <si>
    <t>State appellate litigation / mixed outcome on variances and fiduciary issues</t>
  </si>
  <si>
    <t>Texas Third Court of Appeals / Justia</t>
  </si>
  <si>
    <t>La Ventana Ranch Owners Association, Inc. v. Davis et al.</t>
  </si>
  <si>
    <t>High-priority developer-affiliated utility/control case</t>
  </si>
  <si>
    <t>Residents' characterization of monopoly control and price concerns are allegations/experiences, not antitrust findings. The affiliated ownership and developer governance powers are documented.</t>
  </si>
  <si>
    <t>E361</t>
  </si>
  <si>
    <t>Developer versus owner-controlled HOA</t>
  </si>
  <si>
    <t>Talismanic Properties LLC; Cedar Grove of Tipp City HOA; developer principal</t>
  </si>
  <si>
    <t>Developer/declarant / capital contributions / reserves / developer reimbursement note</t>
  </si>
  <si>
    <t>DEVELOPER CONTROL + HOA DEBT — owner board challenged developer promissory note after learning capital contributions went directly to developer rather than reserve fund</t>
  </si>
  <si>
    <t>Talismanic controlled Cedar Grove until November 2024 and later sued the HOA on a promissory note it said memorialized expenses advanced for the Association. After turnover, the new board said it learned no reserve fund had been maintained and $1,000 capital-contribution checks had gone directly to Talismanic. The developer testified it had advanced about $395,000 and been reimbursed about $180,000. In 2026 the appellate court upheld the trial court's decision reopening the default judgment so the HOA could present its defenses.</t>
  </si>
  <si>
    <t>Developer claimed roughly $395,000 advances, about $180,000 reimbursed; $1,000 capital contributions per sale</t>
  </si>
  <si>
    <t>Pending/reopened litigation / no merits decision on developer debt yet</t>
  </si>
  <si>
    <t>Ohio Second District Court of Appeals / Justia</t>
  </si>
  <si>
    <t>Talismanic Properties, LLC v. Cedar Grove of Tipp City Homeowner's Association, Inc.</t>
  </si>
  <si>
    <t>Highest-priority current developer-debt/reserve-turnover dispute</t>
  </si>
  <si>
    <t>No finding yet that the note is invalid or that developer accounting was improper. The 2026 appellate outcome only preserves the HOA's opportunity to litigate those defenses.</t>
  </si>
  <si>
    <t>E362</t>
  </si>
  <si>
    <t>HOA and homeowners versus developer/private golf club</t>
  </si>
  <si>
    <t>Greens at Half Hollow HOA; Greens Golf Club LLC; developer affiliates; five condominium associations</t>
  </si>
  <si>
    <t>Developer-created private golf/club structure / mandatory social membership / liens / perpetual easement</t>
  </si>
  <si>
    <t>DEVELOPER CONTROL + MANDATORY PRIVATE CLUB — homeowners required to pay private club fees subject to liens while HOA owned no recreation facilities</t>
  </si>
  <si>
    <t>The Greens' recorded documents required every homeowner to be a Social Member of a privately owned golf club and pay monthly dues directly to the club; unpaid dues could become liens on homes. The HOA owned no recreational facilities. Fees rose from $100 per month in 2004 to $165 by 2012, and the club collected about $2.43 million in mandatory social membership fees in 2010 alone. Homeowners and the HOA sued challenging ownership/control of the community facilities, mandatory dues, contribution to common expenses and related issues. Several mandatory-fee theories were dismissed based on prior litigation/res judicata, while other zoning/facility-use issues survived.</t>
  </si>
  <si>
    <t>About $2,430,240 mandatory club fees collected in 2010; $165/month by 2012</t>
  </si>
  <si>
    <t>New York Supreme Court litigation / many fee challenges barred or dismissed; some facility/zoning claims survived</t>
  </si>
  <si>
    <t>New York Supreme Court / Justia</t>
  </si>
  <si>
    <t>Greens at Half Hollow Home Owners Association, Inc. v. Greens Golf Club LLC</t>
  </si>
  <si>
    <t>Highest-priority mandatory private-club recurring-revenue case</t>
  </si>
  <si>
    <t>Do not characterize dismissal as a finding that every aspect of the fee system was substantively fair. Several fee theories were foreclosed by earlier litigation; the opinion separately addressed facility ownership/zoning and access issues.</t>
  </si>
  <si>
    <t>E363</t>
  </si>
  <si>
    <t>Condominium owner versus association</t>
  </si>
  <si>
    <t>Cottage Grove Condominium Association; unnamed property-management company; Joan Young</t>
  </si>
  <si>
    <t>Association / property-management contract / owner records access</t>
  </si>
  <si>
    <t>MANAGEMENT TRANSPARENCY — owner sought management contract; appellate court held Tennessee condo records law did not require disclosure</t>
  </si>
  <si>
    <t>An owner demanded several association records including the contract between Cottage Grove Condominium Association and its property-management company. The trial court dismissed the claim, and in 2026 the Tennessee Court of Appeals affirmed, holding the management contract was not among the association records that the governing condominium statute required the association to provide to an owner.</t>
  </si>
  <si>
    <t>No monetary amount</t>
  </si>
  <si>
    <t>State appellate decision / owner lost; management contract held outside statutory disclosure requirement</t>
  </si>
  <si>
    <t>Joan Young v. Cottage Grove Condominium Association, Inc.</t>
  </si>
  <si>
    <t>High-priority 'law allowed nondisclosure' management-transparency case</t>
  </si>
  <si>
    <t>Not developer-specific, but highly relevant to CASA's legislator-facing transparency question: a court held the management contract itself was not a statutorily required owner-access record under the Tennessee provision at issue.</t>
  </si>
  <si>
    <t>E364</t>
  </si>
  <si>
    <t>Homeowner versus developer/declarant</t>
  </si>
  <si>
    <t>Mississippi</t>
  </si>
  <si>
    <t>Estates of Penny Lane; Val's Property Development LLC (VPD); Estates of Penny Lane HOA; Architectural Control Committee</t>
  </si>
  <si>
    <t>Declarant-created HOA / no bylaws or formal board / declarant-appointed architectural committee</t>
  </si>
  <si>
    <t>DEVELOPER STRUCTURE + HOLLOW GOVERNANCE — HOA existed on paper without bylaws, elected board, meetings, budgets, minutes or annual reports</t>
  </si>
  <si>
    <t>The 2012 covenants created Estates of Penny Lane HOA, but the 2026 appellate record states the HOA adopted no bylaws, elected no formal board, held no formal meetings, created no budget reports, recorded no minutes and provided no annual reports to homeowners. Instead, architectural enforcement was handled by a separate committee over which the declarant retained appointment authority. In a long enforcement dispute, the appellate court found VPD failed to properly constitute the required three-member committee for part of the dispute, reversed a major portion of the injunction against the homeowners, and remanded attorney-fee issues.</t>
  </si>
  <si>
    <t>Trial court had awarded roughly $229,939 in attorney fees before appellate reversal/remand</t>
  </si>
  <si>
    <t>State appellate ruling / homeowners won significant reversal; declarant enforcement process found deficient in part</t>
  </si>
  <si>
    <t>Mississippi Court of Appeals / Justia</t>
  </si>
  <si>
    <t>O'Neill-Marnecheck v. Val's Property Development LLC</t>
  </si>
  <si>
    <t>Highest-priority 'association without meaningful governance' structure case</t>
  </si>
  <si>
    <t>The HOA's lack of bylaws/board/meetings is expressly described in the appellate record. The court did not declare the entire HOA invalid; it reversed specific enforcement rulings because the declarant/ACC did not follow the covenant's required process.</t>
  </si>
  <si>
    <t>E377</t>
  </si>
  <si>
    <t>Property owners versus declarant-controlled POA and commonly controlled owners</t>
  </si>
  <si>
    <t>East Avenue Property Owners Association; UP-32nd Street LLC; Central Austin Apartments LLC; UP-32nd Street Hospitality LLC; UP Austin Holdings</t>
  </si>
  <si>
    <t>Owner declarant / common control / special assessment / unilateral amendments / infrastructure cost shifting</t>
  </si>
  <si>
    <t>DEVELOPER CONTROL + SPECIAL ASSESSMENT — declarant/common-control group used voting power for $2.99M infrastructure assessment, extended control and increased its own voting power</t>
  </si>
  <si>
    <t>At the University Park/East Avenue development in Austin, the POA levied a $2.99 million special assessment for unfinished initial infrastructure. The trial court found the declarant and other owners were under common control and acted collusively in approving it. Shortly before suit, the Owner Declarant used a clause allowing amendments without anyone else's consent during the Declarant Control Period to extend that control until neither it nor any affiliate owned a lot, increase its voting power, and delete a cap on special assessments. The trial court voided the assessment and amendments and enjoined further amendments increasing voting power or extending control without the plaintiff's consent. The appellate court agreed the POA lacked authority to assess owners for initial infrastructure and affirmed key declaratory relief, while addressing other claims separately.</t>
  </si>
  <si>
    <t>$2.99 million special assessment; plaintiff deposited about $1.6 million disputed share; other owner payments included $515,792, $291,972 and $279,701</t>
  </si>
  <si>
    <t>Texas appellate litigation / special assessment void; declarant-control/voting amendments invalidated and injunctive relief entered in underlying judgment</t>
  </si>
  <si>
    <t>Central Austin Apartments, LLC et al. v. UP Austin Holdings, LP et al.</t>
  </si>
  <si>
    <t>Highest-priority Texas convergence case: project cost + assessment + control + unilateral amendments</t>
  </si>
  <si>
    <t>This is unusually strong because all three CASA financing questions converge: initial project/infrastructure responsibility, a multimillion-dollar special assessment, and declarant governance/voting manipulation. Preserve the appellate opinion's distinctions among affirmed, reversed and unchallenged trial findings.</t>
  </si>
  <si>
    <t>E380</t>
  </si>
  <si>
    <t>Industry Professional / Federal Court Record</t>
  </si>
  <si>
    <t>HOA versus developer and bulk cable provider</t>
  </si>
  <si>
    <t>Key West Golf Club Homeowners Association; Singh Company; Comcast</t>
  </si>
  <si>
    <t>Developer-controlled HOA / bulk cable agreement / exclusive service / ultra vires contract challenge</t>
  </si>
  <si>
    <t>POST-TURNOVER BULK CONTRACT LITIGATION — owner-controlled HOA challenged developer-era cable agreements as unlawful and beyond association authority</t>
  </si>
  <si>
    <t>Key West Golf Club HOA sued Singh Company and Comcast seeking to invalidate a 2001 Bulk Cable Television Agreement and Bulk Service Agreement entered while the association was under developer control. The HOA alleged the agreements granted exclusive cable rights contrary to the FCC's 2007 exclusivity rules, lacked the owner vote required by Florida HOA law, and were ultra vires acts of the developer-controlled association. In the cited 2020 federal order, the court addressed pleading and jurisdictional issues while the contract-validity claims proceeded.</t>
  </si>
  <si>
    <t>Bulk-service financial terms require underlying agreements/pleadings for precise amount</t>
  </si>
  <si>
    <t>Federal litigation / claims included FCC exclusivity, statutory voting and ultra vires developer-control theories; cited order not final merits judgment</t>
  </si>
  <si>
    <t>U.S. District Court for the Southern District of Florida / Justia</t>
  </si>
  <si>
    <t>Key West Golf Club Homeowners' Association, Inc. v. Singh et al.</t>
  </si>
  <si>
    <t>Highest-priority post-turnover developer-era bulk-contract lawsuit</t>
  </si>
  <si>
    <t>Do not state the contracts were ultimately void based solely on this interlocutory order. This row is valuable because the owner-controlled HOA itself litigated the continuing effect of developer-era bulk contracts using federal exclusivity, Florida voting and ultra vires theories.</t>
  </si>
  <si>
    <t>E381</t>
  </si>
  <si>
    <t>Telecom provider versus competitor involving developer/HOA bulk contract</t>
  </si>
  <si>
    <t>Premier Electronics LLC; Phillips Creek Ranch developer; Phillips Creek Ranch HOA; ADT LLC</t>
  </si>
  <si>
    <t>Developer/HOA bulk security-monitoring contract / assessments / exclusive or embedded service relationship</t>
  </si>
  <si>
    <t>BULK SERVICE CONTRACT LITIGATION — developer and HOA embedded residential security monitoring into HOA dues</t>
  </si>
  <si>
    <t>Premier Electronics entered a written agreement with the Phillips Creek Ranch developer and HOA to provide security alarm monitoring for all residences. The arrangement used bulk billing: the HOA collected monitoring charges through homeowner dues and paid Premier, while homeowners could buy additional services directly. Premier later sued ADT alleging interference with its existing and prospective contracts, including the developer/HOA agreement and homeowner relationships. The federal court granted and denied portions of dispositive motions in 2020.</t>
  </si>
  <si>
    <t>Bulk monitoring charges embedded in HOA dues; exact aggregate value not stated in cited order</t>
  </si>
  <si>
    <t>Federal commercial litigation / mixed ruling on tortious-interference claims</t>
  </si>
  <si>
    <t>U.S. District Court for the Northern District of Texas / Justia</t>
  </si>
  <si>
    <t>Premier Electronics LLC v. ADT LLC et al.</t>
  </si>
  <si>
    <t>Useful bulk-service ecosystem litigation; post-buildout persistence requires further verification</t>
  </si>
  <si>
    <t>This case proves the bulk-billing mechanism and developer/HOA contracting relationship, not wrongdoing by the HOA or developer. Keep because user requested all relevant lawsuits, but do not classify it as abusive unless contract duration/control or homeowner restrictions establish the long-tail issue.</t>
  </si>
  <si>
    <t>E382</t>
  </si>
  <si>
    <t>Condo owners derivative suit against management company/developer-linked officers</t>
  </si>
  <si>
    <t>Commerce Towers Condominium Association; Tarantino Properties Inc.; Premier Towers LP; Anthony Tarantino; John Frese; Charles Vickers</t>
  </si>
  <si>
    <t>Management company officers also HOA officers / developer-retail interests / management agreement / alleged self-dealing</t>
  </si>
  <si>
    <t>MANAGEMENT SELF-DEALING LITIGATION — owners alleged overlapping HOA/management officers caused association to subsidize developer retail property and management-company labor</t>
  </si>
  <si>
    <t>Unit owners alleged that officers who simultaneously served the condominium association and Tarantino Properties caused the Association to enter and repeatedly renew arrangements benefiting Premier's retail space and the management company. Allegations included common-area benefits for retail tenants without proportional cost sharing, Association payment of full-time salaries/benefits for management-company employees allegedly working only part-time for the Association, reserve/maintenance deferrals, refusal to consider competing management firms, self-dealing, unjust enrichment and conspiracy. The Texas Court of Appeals held owners had statutory derivative standing for certain ultra vires claims against current/former officers, reversed that portion of the dismissal, and remanded; it did not recognize common-law derivative standing for the broader claims against Premier and the management company.</t>
  </si>
  <si>
    <t>No single damages amount central in 2020 opinion</t>
  </si>
  <si>
    <t>Texas appellate decision / partial reversal and remand; allegations not adjudicated as proven in this opinion</t>
  </si>
  <si>
    <t>Texas Fourteenth Court of Appeals / Justia</t>
  </si>
  <si>
    <t>Carmichael et al. on behalf of Commerce Towers Condominium Association v. Tarantino Properties, Inc. et al.</t>
  </si>
  <si>
    <t>Highest-priority overlapping management/HOA leadership and alleged self-dealing litigation</t>
  </si>
  <si>
    <t>Preserve allegation status. The appellate holding concerned derivative standing and ultra vires claims, not a merits finding that defendants committed self-dealing. Particularly useful because the management-company officers simultaneously held Association offices.</t>
  </si>
  <si>
    <t>E383</t>
  </si>
  <si>
    <t>Unit owners versus HOA, management company and affiliated contractor</t>
  </si>
  <si>
    <t>New Jersey</t>
  </si>
  <si>
    <t>Highland Estates Condominium Association; AR Management Company; Angel Consulting LLC; Joseph Balzamo; Debbie Sabillon</t>
  </si>
  <si>
    <t>Management company and restoration contractor under common ownership / insurance proceeds / repair contracting</t>
  </si>
  <si>
    <t>MANAGEMENT-AFFILIATED VENDOR LITIGATION — owners alleged self-dealing/conflict because management company and contractor handling insured repairs shared an owner</t>
  </si>
  <si>
    <t>After a condominium fire, unit owners sued the Association, AR Management, Angel Consulting and related individuals over allegedly faulty/incomplete restoration work and the handling of insurance proceeds. The New Jersey court's opinion states that AR Management, the Association's property manager, and Angel Consulting, the general contractor for the restoration, were both owned by Joseph Balzamo. The owners' claims concerning that relationship alleged self-dealing, conflicts of interest and mismanagement of the fire-loss insurance proceeds. The reported decision addressed insurance coverage/defense issues arising from the underlying litigation.</t>
  </si>
  <si>
    <t>Insurance proceeds and restoration project involved; precise disputed amount requires underlying complaint/insurance record</t>
  </si>
  <si>
    <t>Underlying civil litigation; court opinion documents allegations and common ownership; insurance coverage dispute followed</t>
  </si>
  <si>
    <t>Superior Court of New Jersey / New Jersey Courts</t>
  </si>
  <si>
    <t>Velez et al. v. Highland Estates Condominium Association et al. (insurance coverage opinion)</t>
  </si>
  <si>
    <t>Highest-priority management-company/affiliated-contractor conflict case</t>
  </si>
  <si>
    <t>The common ownership of management company and contractor is stated in the court opinion. Self-dealing/conflict and mismanagement remain allegations from the owners' underlying case unless separately adjudicated.</t>
  </si>
  <si>
    <t>E384</t>
  </si>
  <si>
    <t>Industry Professional / Civil Complaint</t>
  </si>
  <si>
    <t>HOA versus former management company president</t>
  </si>
  <si>
    <t>29th Drive Row Homes Community Association; Avenue One Properties; Brett Hardt; former Avenue One employee Michelle Lee</t>
  </si>
  <si>
    <t>Former HOA management company / retained bank access / alleged post-termination transfer of association funds</t>
  </si>
  <si>
    <t>MANAGEMENT COMPANY CIVIL THEFT ALLEGATION — HOA alleges former manager drained association bank balance after termination</t>
  </si>
  <si>
    <t>In a May 2026 Colorado lawsuit, the 29th Drive Row Homes Community Association accused former management company Avenue One Properties and its president Brett Hardt of civil theft and unjust enrichment. According to reporting on the filed complaint, more than a year after the HOA terminated Avenue One, Hardt allegedly used continuing bank-account access to transfer the Association's entire $55,012.88 balance to an account he controlled. A former Avenue One employee who had worked on new-client acquisition also publicly alleged concerns about candor in her dealings with Hardt.</t>
  </si>
  <si>
    <t>$55,012.88 alleged transfer of entire HOA account balance</t>
  </si>
  <si>
    <t>Civil lawsuit filed May 2026; allegations pending/no merits judgment established</t>
  </si>
  <si>
    <t>Arapahoe County District Court complaint reported by Realtor.com</t>
  </si>
  <si>
    <t>29th Drive Row Homes Community Association v. Avenue One / Brett Hardt</t>
  </si>
  <si>
    <t>High-priority current management-company financial-control lawsuit</t>
  </si>
  <si>
    <t>Complaint allegations are not proof. This differs from employee theft where the management company is the victim: here the HOA itself alleges the management-company president used retained account access after termination.</t>
  </si>
  <si>
    <t>Management Company / Manager Financial Misconduct</t>
  </si>
  <si>
    <t>E385</t>
  </si>
  <si>
    <t>Condo owners RICO suit against management company and others</t>
  </si>
  <si>
    <t>Florida / District of Columbia transfer</t>
  </si>
  <si>
    <t>Resource Property Management Inc.; Debra Reinhardt; New Atlantis Club Condominium Association; Point Brittany Association; CEOMC; condominium owners</t>
  </si>
  <si>
    <t>Community association management / alleged racketeering / assessments / invoices / banking and technology ecosystem</t>
  </si>
  <si>
    <t>RICO ALLEGATIONS — owners filed federal racketeering action naming community association management company and condominium associations</t>
  </si>
  <si>
    <t>In September 2025 condominium owners filed a seven-count federal action naming Resource Property Management, CEO Debra Reinhardt, New Atlantis Club and Point Brittany entities and others. The case is docketed as a RICO matter. In June 2026 the District of Columbia court denied the defendants' motions to dismiss without reaching the merits and transferred the case to the Middle District of Florida, where it was docketed in July 2026. Plaintiffs' allegations include a broader claimed racketeering scheme; those allegations remain unproven and must be treated strictly as allegations.</t>
  </si>
  <si>
    <t>No reliable damages amount established from reviewed court order</t>
  </si>
  <si>
    <t>Federal RICO action pending/transferred to Middle District of Florida; motions to dismiss denied in favor of transfer, not merits adjudication</t>
  </si>
  <si>
    <t>U.S. District Court for District of Columbia / Middle District of Florida / Justia</t>
  </si>
  <si>
    <t>Pinkerton et al. v. Reinhardt et al.</t>
  </si>
  <si>
    <t>Highest-priority current RICO allegation involving HOA management company</t>
  </si>
  <si>
    <t>Do not repeat expansive predicate-act allegations as fact. The reliable procedural facts are that a RICO action was filed, defendants include RPM/Reinhardt and HOA entities, D.C. motions to dismiss were denied because the court transferred the matter, and the case is now pending in Florida.</t>
  </si>
  <si>
    <t>RICO / Antitrust / Systemic Litigation</t>
  </si>
  <si>
    <t>E386</t>
  </si>
  <si>
    <t>Contractor versus HOA, management companies and board president</t>
  </si>
  <si>
    <t>Tranquility Lakes Owners Association; Centra Partners LLC; Cardinal Street Management LLC; Lindsey Gimber; Kris William Builders</t>
  </si>
  <si>
    <t>HOA management companies / board president / vendor contracting</t>
  </si>
  <si>
    <t>KICKBACK ALLEGATION LITIGATION — contractor alleged management-linked HOA president demanded kickback before terminating remediation contracts</t>
  </si>
  <si>
    <t>After Hurricane Ike, the HOA, through then-management company Centra Partners, retained Kris William Builders for damage assessment, insurance-claim assistance and remediation work. The contractor later alleged that HOA president Lindsey Gimber, who founded successor management company Cardinal Street Management, demanded a kickback and that the contracts were terminated when the contractor refused. The trial court granted summary judgment for defendants. The Texas Court of Appeals affirmed dismissal of the tortious-interference and fraud claims, explaining among other things that the evidence did not satisfy the legal requirements for those claims even assuming the kickback-demand averment was true.</t>
  </si>
  <si>
    <t>Insurance/remediation contract; percentage compensation; no adjudicated kickback amount</t>
  </si>
  <si>
    <t>Texas appellate decision / allegation documented; defendants prevailed on summary judgment</t>
  </si>
  <si>
    <t>Kris William Builders, Inc. and Orlando Delcid v. Tranquility Lakes Owners Association, Inc. et al.</t>
  </si>
  <si>
    <t>Litigation outcome coded — defense summary judgment affirmed</t>
  </si>
  <si>
    <t>The alleged kickback demand was not adjudicated as proven. The appellate court affirmed summary judgment for defendants on the challenged claims. Keep as recurring allegation/mechanism evidence, not proof that a kickback occurred.</t>
  </si>
  <si>
    <t>E391</t>
  </si>
  <si>
    <t>Industry Professional / Appellate Court Record</t>
  </si>
  <si>
    <t>Condominium association versus original developer/declarant</t>
  </si>
  <si>
    <t>Missouri</t>
  </si>
  <si>
    <t>Lands' End Properties LLC; Grand Meridian Condominium Owners' Association</t>
  </si>
  <si>
    <t>Developer/declarant / retained development rights / delayed turnover / assessments</t>
  </si>
  <si>
    <t>LONG-TAIL DECLARANT CONTROL LITIGATION — declaration tied development rights to ownership of original units; association challenged allegedly perpetual rights and failure to turn over control</t>
  </si>
  <si>
    <t>The Grand Meridian Condominium Owners' Association challenged Lands' End Properties' continuing development rights, arguing among other things that the declaration's declarant-rights period was unknowable or effectively perpetual and that the developer's failure to turn control of the Association over to unit owners should terminate its rights. The declaration made the rights period run until the declarant conveyed all units it originally owned; LEP retained two units. After a bench trial, the court held LEP retained its development rights but owed assessments on the two units after March 28, 2013. The Missouri Court of Appeals affirmed in March 2025.</t>
  </si>
  <si>
    <t>Developer owed assessments on retained units after March 28, 2013; separate road-repair relief also ordered below</t>
  </si>
  <si>
    <t>Missouri appellate decision after bench trial; developer retained development rights, association prevailed on assessment obligation</t>
  </si>
  <si>
    <t>Missouri Court of Appeals / Justia</t>
  </si>
  <si>
    <t>Lands' End Properties, LLC et al. v. The Grand Meridian Condominium Owners' Association, Inc. et al.</t>
  </si>
  <si>
    <t>Litigation decided — appellate court affirmed mixed trial result</t>
  </si>
  <si>
    <t>Important outcome discipline: the association did not win termination of development rights. The courts enforced the declaration's rights period. The association did establish that LEP owed assessments on retained units. This is structural long-tail control evidence, not proof of fraud.</t>
  </si>
  <si>
    <t>Developer / Declarant Long-Tail Control</t>
  </si>
  <si>
    <t>E392</t>
  </si>
  <si>
    <t>Condominium owner versus HOA management company and association</t>
  </si>
  <si>
    <t>Principal Management Group Inc.; Quail Run Condominium Association; Jessica Dixon</t>
  </si>
  <si>
    <t>Property management company / assessment collection and repair representations</t>
  </si>
  <si>
    <t>SPECIAL-ASSESSMENT / MANAGEMENT LITIGATION — owner alleged fraud, unjust enrichment and misrepresentation after paying assessments for common-area repairs</t>
  </si>
  <si>
    <t>A Quail Run condominium owner alleged that the association had approved a 2018 special assessment for concrete and pavement repairs and that Principal Management Group represented assessments as covering maintenance, repair and replacement of common facilities. After her patio was not repaired, she sued PMG and later the association on claims including fraud, promissory estoppel, unjust enrichment and negligent misrepresentation. Trial courts dismissed the PMG claims under Texas Rule 91a. In July 2026, the Dallas Court of Appeals held those claims had a basis in law and fact, reversed the dismissals and fee awards as to PMG, and remanded. The appellate decision did not find the allegations proven.</t>
  </si>
  <si>
    <t>2018 special assessment; damages amount not established in appellate opinion</t>
  </si>
  <si>
    <t>Texas appellate decision — pleading-stage dismissal reversed and remanded; merits unresolved</t>
  </si>
  <si>
    <t>Texas Fifth Court of Appeals / Justia</t>
  </si>
  <si>
    <t>Jessica Dixon v. Principal Management Group Inc. and Quail Run Condominium Association</t>
  </si>
  <si>
    <t>Pending/remanded after appellate reversal</t>
  </si>
  <si>
    <t>The 2026 appellate court decided only that the pleaded PMG claims had a basis in law and fact sufficient to survive Rule 91a. It did not determine that PMG committed fraud, unjust enrichment or misrepresentation.</t>
  </si>
  <si>
    <t>Loans / Special Assessments / Financial Burden</t>
  </si>
  <si>
    <t>E393</t>
  </si>
  <si>
    <t>Condominium owner versus board and managing agent</t>
  </si>
  <si>
    <t>2900 Ocean Condominium Board of Managers; managing agent Randy Sulzer; Stacy Makhnevich</t>
  </si>
  <si>
    <t>Managing agent / fees and penalties / repair-service dispute</t>
  </si>
  <si>
    <t>MANAGING-AGENT FEE LITIGATION — owner alleged overcharging of fees and penalties alongside repair-service failures</t>
  </si>
  <si>
    <t>A condominium owner sued the Board of Managers and its managing agent, Randy Sulzer, alleging among other things failure to address repair requests and overcharging of fees and penalties. In July 2021, the New York court dismissed the action against all defendants. The board-related dismissal was based on lack of personal jurisdiction, and the court separately held that the complaint failed to state a cause of action against Sulzer.</t>
  </si>
  <si>
    <t>Alleged overcharges; amount not stated in cited decision</t>
  </si>
  <si>
    <t>State trial-court decision — action dismissed; allegations unproven</t>
  </si>
  <si>
    <t>Makhnevich v. Board of Managers of 2900 Ocean Condominium</t>
  </si>
  <si>
    <t>Litigation dismissed</t>
  </si>
  <si>
    <t>Do not treat the fee-overcharge allegation as substantiated. The action was dismissed, including failure to state a claim against the managing agent.</t>
  </si>
  <si>
    <t>E394</t>
  </si>
  <si>
    <t>Homeowner class / prevailing plaintiffs</t>
  </si>
  <si>
    <t>ALS Lien Services; SwedelsonGottlieb; Danville Green HOA</t>
  </si>
  <si>
    <t>Collection company / affiliated law firm / HOA</t>
  </si>
  <si>
    <t>Collection-fee allocation; foreclosure threats; affiliated collection/law-firm structure</t>
  </si>
  <si>
    <t>Class action challenged ALS practices of applying homeowner payments to collection fees/costs before assessments and using pre-lien/default letters that threatened foreclosure when statutory thresholds were not met. Trial court found FDCPA/UCL violations and alter-ego liability; appellate court affirmed. Court also found ALS was used as a conduit to procure legal work for the affiliated law firm.</t>
  </si>
  <si>
    <t>$156,753 restitution to class; $1,173,816 class counsel fees upheld</t>
  </si>
  <si>
    <t>Owner/class victory; judgment affirmed</t>
  </si>
  <si>
    <t>Published appellate opinion</t>
  </si>
  <si>
    <t>Doskocz v. ALS Lien Services</t>
  </si>
  <si>
    <t>Verified – owner/class prevailed</t>
  </si>
  <si>
    <t>Court findings apply to the litigated practices and parties; inclusion does not establish that all HOA collection arrangements are improper.</t>
  </si>
  <si>
    <t>Collections / Foreclosure / Financial Incentives</t>
  </si>
  <si>
    <t>E395</t>
  </si>
  <si>
    <t>Prevailing homeowner on appeal</t>
  </si>
  <si>
    <t>Maxwell &amp; Morgan P.C.; Neely Commons Community Association</t>
  </si>
  <si>
    <t>HOA collection law firm / HOA</t>
  </si>
  <si>
    <t>Judicial foreclosure; attorney-fee inflation/misrepresentation</t>
  </si>
  <si>
    <t>Homeowner alleged collection counsel misrepresented the amount and legal status of HOA debt and sought attorney fees to which it was not entitled in judicial foreclosure. Ninth Circuit held judicial foreclosure was debt collection under the FDCPA and held the writ falsely represented the legal status of attorney fees; remanded for damages.</t>
  </si>
  <si>
    <t>Amount not stated in appellate holding</t>
  </si>
  <si>
    <t>Owner partial victory; FDCPA violation established on appealed claim</t>
  </si>
  <si>
    <t>Published federal appellate opinion</t>
  </si>
  <si>
    <t>McNair v. Maxwell &amp; Morgan P.C.</t>
  </si>
  <si>
    <t>Verified – homeowner prevailed in part on appeal</t>
  </si>
  <si>
    <t>Several other claims were untimely or lost; code only the claim on which the homeowner prevailed.</t>
  </si>
  <si>
    <t>Collections / Foreclosure / Attorney Fees</t>
  </si>
  <si>
    <t>E396</t>
  </si>
  <si>
    <t>Epsten Grinnell &amp; Howell; Westwood Club HOA</t>
  </si>
  <si>
    <t>Collection notice; lien threat; validation-right interference</t>
  </si>
  <si>
    <t>Collection letter demanded HOA assessment payment and threatened lien action in language the Ninth Circuit held plausibly overshadowed the homeowner's FDCPA validation rights. The court held the law firm was subject to the full FDCPA and reversed dismissal/remanded.</t>
  </si>
  <si>
    <t>$385 underlying assessment referenced</t>
  </si>
  <si>
    <t>Owner appellate victory; dismissal reversed</t>
  </si>
  <si>
    <t>Mashiri v. Epsten Grinnell &amp; Howell</t>
  </si>
  <si>
    <t>Verified – homeowner won appeal</t>
  </si>
  <si>
    <t>Reversal allowed claims to proceed; it was not a final damages judgment.</t>
  </si>
  <si>
    <t>Collections / Liens / Foreclosure Threats</t>
  </si>
  <si>
    <t>E397</t>
  </si>
  <si>
    <t>Peters &amp; Freedman LLP; N.N. Jaeschke Inc.; Advanced Attorney Services; Pacific Ridge Neighborhood HOA</t>
  </si>
  <si>
    <t>Collection law firm / property management-debt collector / process service / HOA</t>
  </si>
  <si>
    <t>Collection after payment; foreclosure notice; bankruptcy-related HOA debt</t>
  </si>
  <si>
    <t>After HOA arrears were paid in full through a Chapter 13 plan, collection counsel later re-served an old notice of default. Ninth Circuit reversed summary judgment for defendants and held the homeowner's FDCPA claim based on collection of a fully paid debt could proceed.</t>
  </si>
  <si>
    <t>HOA claim listed at $2,978.24; $2,277.10 paid to satisfy debt</t>
  </si>
  <si>
    <t>Owner appellate victory; summary judgment reversed</t>
  </si>
  <si>
    <t>Manikan v. Peters &amp; Freedman LLP</t>
  </si>
  <si>
    <t>Reversal allowed FDCPA claims to proceed; not a final liability/damages judgment in this opinion.</t>
  </si>
  <si>
    <t>Collections / Foreclosure / Paid Debt</t>
  </si>
  <si>
    <t>E398</t>
  </si>
  <si>
    <t>Prevailing homeowners on appeal</t>
  </si>
  <si>
    <t>Affinity Management Services LLC; Marbella Park HOA; Meloni Law Firm</t>
  </si>
  <si>
    <t>Property manager / HOA / collection law firm</t>
  </si>
  <si>
    <t>HOA fines; collection fees; lien/foreclosure threats</t>
  </si>
  <si>
    <t>Homeowners disputed a $1,000 HOA fine, late charges and attorney fees while management and counsel pursued collection and warned of lien/foreclosure. Eleventh Circuit held the HOA fine could qualify as consumer debt under Florida collection law, reversed summary judgment for the manager, vacated judgment for the HOA, and remanded.</t>
  </si>
  <si>
    <t>Demands included $1,000 fine, $262.50 legal fee and additional late fees</t>
  </si>
  <si>
    <t>Owner appellate victory against manager; HOA judgment vacated</t>
  </si>
  <si>
    <t>Agrelo v. Affinity Management Services / Meloni Law Firm</t>
  </si>
  <si>
    <t>Verified – homeowners won key appellate ruling</t>
  </si>
  <si>
    <t>Appellate ruling did not finally decide all underlying liability questions.</t>
  </si>
  <si>
    <t>Collections / Management / Foreclosure Threats</t>
  </si>
  <si>
    <t>E399</t>
  </si>
  <si>
    <t>Prevailing condominium owner</t>
  </si>
  <si>
    <t>Michigan</t>
  </si>
  <si>
    <t>Alexander, Zelmanski, Danner &amp; Fioritto PLLC; Kramer-Triad Management Group; Cumberland Condominium Association</t>
  </si>
  <si>
    <t>Collection law firm / management company / condominium association</t>
  </si>
  <si>
    <t>Unverified charges; continuing collection; lien</t>
  </si>
  <si>
    <t>Owner repeatedly disputed unexplained carryover charges that generated additional late fees and legal fees. The Sixth Circuit held the collector failed to verify the disputed portion yet continued collection and placed a lien, violating FDCPA §1692g(b), and granted summary judgment to the homeowner on that issue.</t>
  </si>
  <si>
    <t>Balance grew from $898 to more than $1,700; lien stated $1,416</t>
  </si>
  <si>
    <t>Owner victory; summary judgment granted on verification claim</t>
  </si>
  <si>
    <t>Haddad v. Alexander, Zelmanski, Danner &amp; Fioritto PLLC</t>
  </si>
  <si>
    <t>Verified – homeowner prevailed on key claim</t>
  </si>
  <si>
    <t>Homeowner did not prevail on every theory; record should reflect the specific FDCPA verification violation.</t>
  </si>
  <si>
    <t>Collections / Management / Liens</t>
  </si>
  <si>
    <t>E400</t>
  </si>
  <si>
    <t>Prevailing homeowner / consumer-protection ruling</t>
  </si>
  <si>
    <t>Goshen Run Homeowners Association</t>
  </si>
  <si>
    <t>Confessed judgment; collection agreement; delinquent assessments</t>
  </si>
  <si>
    <t>HOA used a promissory note/forbearance agreement with a confessed-judgment clause to collect delinquent assessments. Maryland's high court held HOA assessment collection falls under the state Consumer Protection Act and that the confessed-judgment device was prohibited in this consumer transaction; the complaint based on it had to be dismissed.</t>
  </si>
  <si>
    <t>Amount not stated in cited holding</t>
  </si>
  <si>
    <t>Owner victory; HOA confessed-judgment complaint dismissed</t>
  </si>
  <si>
    <t>Published state supreme court opinion</t>
  </si>
  <si>
    <t>Goshen Run Homeowners Association v. Cisneros</t>
  </si>
  <si>
    <t>Verified – homeowner prevailed on collection mechanism</t>
  </si>
  <si>
    <t>HOA remained free to pursue a separate ordinary breach-of-contract action; ruling targeted the confessed-judgment mechanism.</t>
  </si>
  <si>
    <t>Collections / Assessment Enforcement</t>
  </si>
  <si>
    <t>E401</t>
  </si>
  <si>
    <t>Homeowners challenging HOA collection practices</t>
  </si>
  <si>
    <t>Galyn Manor Homeowners Association; Andrews &amp; Lawrence; Chambers Management</t>
  </si>
  <si>
    <t>HOA / collection law firm / former management company</t>
  </si>
  <si>
    <t>Fines, attorney fees, debt collection; vicarious consumer-protection liability</t>
  </si>
  <si>
    <t>Homeowners challenged years of HOA collection of assessments, fines, penalties and attorney fees. Maryland's high court affirmed that HOA assessment collection is covered by the Consumer Protection Act and that a lawyer's professional-services exemption does not automatically shield the HOA client from liability for collection conduct.</t>
  </si>
  <si>
    <t>Multiple fines/fees over approximately nine years</t>
  </si>
  <si>
    <t>Owner-favorable appellate ruling; claims revived/remanded</t>
  </si>
  <si>
    <t>Andrews &amp; Lawrence Professional Services, LLC v. Mills</t>
  </si>
  <si>
    <t>Verified – homeowners obtained favorable appellate ruling</t>
  </si>
  <si>
    <t>Not all claims were won and the opinion did not enter a final damages judgment; code as favorable appellate ruling/remand.</t>
  </si>
  <si>
    <t>Collections / Management / Attorney Fees</t>
  </si>
  <si>
    <t>E403</t>
  </si>
  <si>
    <t>Property owner obtaining partial appellate relief</t>
  </si>
  <si>
    <t>Adept Management Services, Inc.; Nevada Association Services, Inc.; Torrey Pines Homeowners Association</t>
  </si>
  <si>
    <t>HOA management company / assessment collection company / HOA</t>
  </si>
  <si>
    <t>Assessment collection; lien; trustee sale; foreclosure notice; quiet title</t>
  </si>
  <si>
    <t>After a dispute over allegedly unpaid assessments, Torrey Pines HOA, Adept Management and Nevada Association Services collectively pursued the assessment lien and sold the owner's properties at trustee sale after unsuccessful settlement negotiations. The Nevada Supreme Court held that the owner's quiet-title claim should not have been dismissed and reversed the order denying the motion to set aside the trustee sale so that issue could be reconsidered on remand.</t>
  </si>
  <si>
    <t>Amount not stated in cited appellate opinion</t>
  </si>
  <si>
    <t>Owner partial appellate victory; foreclosure-sale challenge revived</t>
  </si>
  <si>
    <t>McKnight Family, LLP v. Adept Management Services, Inc.</t>
  </si>
  <si>
    <t>Verified – owner obtained partial appellate relief</t>
  </si>
  <si>
    <t>Not a final merits victory on all claims. Most claims remained subject to Nevada's ADR requirement; code only the quiet-title/set-aside-sale relief actually obtained.</t>
  </si>
  <si>
    <t>Collections / Management Company / Foreclosure</t>
  </si>
  <si>
    <t>E404</t>
  </si>
  <si>
    <t>Leawood Homeowners Association, Inc.; Independent Management &amp; Investment LLC; Nafisa Yaqoob; Wayman L. Prince</t>
  </si>
  <si>
    <t>HOA / property management company / property manager / attorney-trustee</t>
  </si>
  <si>
    <t>Assessment collection; foreclosure notices; redemption demand; improper foreclosure; trustee deeds</t>
  </si>
  <si>
    <t>After Burton fell behind on association dues, the HOA obtained a judgment for dues and fees and later foreclosed on six condominium units. Burton sued the HOA, its property management company, property manager, and attorney/trustee. After a bench trial, the court declared the foreclosure sales improper and a nullity, held that the trustee lacked lawful power to sell the properties, declared the trustee deeds void, and set aside the foreclosures.</t>
  </si>
  <si>
    <t>Six foreclosure sales set aside; trustee deeds void; homeowner awarded attorney's fees and post-judgment interest</t>
  </si>
  <si>
    <t>Owner victory on foreclosure/title relief; other statutory claims denied</t>
  </si>
  <si>
    <t>Published state appellate opinion affirming trial judgment</t>
  </si>
  <si>
    <t>Burton v. Prince / Independent Management &amp; Investment LLC / Leawood HOA</t>
  </si>
  <si>
    <t>Verified – homeowner prevailed on core foreclosure/title issue</t>
  </si>
  <si>
    <t>Important coding distinction: Burton lost his separate fraud, Texas debt-collection and DTPA theories on appeal. The record is included for the actual relief obtained: six HOA foreclosures were declared improper and set aside.</t>
  </si>
  <si>
    <t>Collections / Management Company / Wrongful Foreclosure</t>
  </si>
  <si>
    <t>E405</t>
  </si>
  <si>
    <t>Condominium owner obtaining negotiated return of property</t>
  </si>
  <si>
    <t>PARC Condominium Association; Association Management Incorporated</t>
  </si>
  <si>
    <t>Condominium association / property management company</t>
  </si>
  <si>
    <t>Assessment lien; foreclosure; wrongful-foreclosure suit; negotiated restoration of title</t>
  </si>
  <si>
    <t>After the condominium association and its management company foreclosed on Dominguez's unit for nonpayment of fees, Dominguez sued both for wrongful foreclosure. Following related appellate litigation over competing lien priority, Dominguez and the association/management side entered a Rule 11 agreement under which Dominguez agreed to pay association fees and the condominium association agreed to return the condominium to him. The trial court entered final judgment based on that agreement.</t>
  </si>
  <si>
    <t>Condominium returned to owner under court-entered settlement agreement; owner agreed to pay HOA fees</t>
  </si>
  <si>
    <t>Owner-favorable settlement / property returned; no adjudicated wrongful-foreclosure liability</t>
  </si>
  <si>
    <t>Published state appellate opinion documenting settlement and final judgment</t>
  </si>
  <si>
    <t>Eichner, P.C. v. Dominguez, PARC Condominium Association &amp; Association Management Incorporated</t>
  </si>
  <si>
    <t>Verified – property returned through settlement</t>
  </si>
  <si>
    <t>Do not code as a merits finding that the management company committed wrongful foreclosure. The favorable outcome is the negotiated restoration of the condominium embodied in the final judgment.</t>
  </si>
  <si>
    <t>Collections / Management Company / Foreclosure Settlement</t>
  </si>
  <si>
    <t>E406</t>
  </si>
  <si>
    <t>Condominium owner alleging inflated collection ledger</t>
  </si>
  <si>
    <t>Washington</t>
  </si>
  <si>
    <t>Nova Association Management Partners LLC; Villa Marina Association of Apartment Owners; Sound Legal Partners LLC; attorney Alyson Burkemper</t>
  </si>
  <si>
    <t>Property management company / condominium association / collection counsel</t>
  </si>
  <si>
    <t>Inflated or inaccurate ledger; processing fee; lien foreclosure; collection communications</t>
  </si>
  <si>
    <t>Owner John Collins alleged that Villa Marina's property manager, Nova Association Management Partners, prepared inaccurate and inflated fee ledgers that fed into collection and lien-foreclosure activity. In a 2026 federal ruling on claims against collection counsel, the court found that a collection letter plausibly stated an FDCPA misrepresentation claim because it included inconsistent balances and a $229.15 'final payment processing' fee that owners allegedly had not authorized. The opinion expressly distinguished the moving law-firm defendants from Villa Marina and Nova as the parties allegedly responsible for charging some fees.</t>
  </si>
  <si>
    <t>$229.15 processing fee specifically discussed; broader amounts disputed in foreclosure litigation</t>
  </si>
  <si>
    <t>Pending/partial pleading-stage relief; not a final owner victory against Nova</t>
  </si>
  <si>
    <t>Federal district court opinion</t>
  </si>
  <si>
    <t>Collins v. Nova Association Management Partners LLC et al.</t>
  </si>
  <si>
    <t>Verified – strong documented mechanism; final management-company liability not established</t>
  </si>
  <si>
    <t>Included because this database is not limited to judgments and the management company's ledger is central to the alleged collection mechanism. Do not count this as an owner win against Nova unless later proceedings establish liability or settlement.</t>
  </si>
  <si>
    <t>Collections / Management Company / Ledger Inflation / Foreclosure</t>
  </si>
  <si>
    <t>E407</t>
  </si>
  <si>
    <t>Homeowners challenging management-company collection charges</t>
  </si>
  <si>
    <t>HOA Management, Inc.; Berkeley Park Homeowners Association</t>
  </si>
  <si>
    <t>HOA management company / HOA</t>
  </si>
  <si>
    <t>In-house assessment collection; management retains late fees and collection charges; administrative fees</t>
  </si>
  <si>
    <t>The management contract required HOA Management to use best efforts to collect assessments and expressly provided that the manager was entitled to receive all late fees and collection expenses or charges, less collection costs paid by the association, when approved by the board and charged against delinquent assessments. After homeowners disputed a dues increase, HOA Management itself assessed late and administrative fees and sent a debt-collection notice seeking the balance.</t>
  </si>
  <si>
    <t>Disputed balance reached $172.76; contract allocated late fees and collection charges to manager</t>
  </si>
  <si>
    <t>Homeowners lost FDCPA/equitable-estoppel claims; mechanism documented in contract</t>
  </si>
  <si>
    <t>Federal district court opinion on motion to dismiss</t>
  </si>
  <si>
    <t>Cornell et al. v. HOA Management, Inc. et al.</t>
  </si>
  <si>
    <t>Verified – documented management compensation mechanism; not an owner win</t>
  </si>
  <si>
    <t>High-value mechanism record. The court dismissed the homeowners' FDCPA claim because HOA Management was not a debt collector under the statute. Inclusion documents the contract structure and in-house collection role, not a finding that the compensation arrangement was illegal or improper.</t>
  </si>
  <si>
    <t>Collections / Management Company / In-House / Financial Incentive</t>
  </si>
  <si>
    <t>E408</t>
  </si>
  <si>
    <t>Homeowners obtaining foreclosure injunctions</t>
  </si>
  <si>
    <t>Stewart Beach Condominium Homeowners Association, Inc.; HOA collection counsel</t>
  </si>
  <si>
    <t>Condominium association / association collection attorney</t>
  </si>
  <si>
    <t>Attorney-as-collector; hybrid flat/hourly/contingency collection fees; foreclosure</t>
  </si>
  <si>
    <t>The HOA's collection counsel used a hybrid fee arrangement consisting of flat fees for collection letters and liens, hourly billing, and a 20% contingency fee on collections. Homeowners admitted owing assessments but challenged attorney-fee demands ranging roughly from $1,600 to $2,150 per owner and totaling more than $16,000. The trial court temporarily enjoined four foreclosures and found $300 in reasonable attorney fees at that stage; the court of appeals affirmed the injunctions and held the homeowners had shown a probable right to relief on their excessive-demand challenge.</t>
  </si>
  <si>
    <t>More than $16,000 in attorney fees demanded across four owners; trial court used $300 per unit as reasonable fee for bond purposes</t>
  </si>
  <si>
    <t>Owner partial victory; four foreclosure injunctions affirmed</t>
  </si>
  <si>
    <t>Published state appellate opinion</t>
  </si>
  <si>
    <t>Stewart Beach Condominium HOA v. Gili N Prop Investments et al.</t>
  </si>
  <si>
    <t>Verified – homeowners obtained and preserved foreclosure injunctions</t>
  </si>
  <si>
    <t>Interlocutory ruling, not final merits adjudication of all fee claims. Particularly relevant because the opinion documents the association counsel's compensation structure, including a 20% collection contingency in addition to flat and hourly fees.</t>
  </si>
  <si>
    <t>Collections / HOA Attorney / Contingency Fees / Foreclosure</t>
  </si>
  <si>
    <t>E409</t>
  </si>
  <si>
    <t>Homeowner class / collection-fee plaintiffs</t>
  </si>
  <si>
    <t>EquityExperts.org, LLC; homeowners associations referring delinquent accounts</t>
  </si>
  <si>
    <t>HOA collection company / referring associations</t>
  </si>
  <si>
    <t>Lien fees; foreclosure referral fees; package fees; standardized collection notices; fee escalation</t>
  </si>
  <si>
    <t>A homeowner class action alleged improper HOA debt-collection practices by EquityExperts after delinquent association accounts were referred to it. The record shows a $3,445 foreclosure-referral fee on the named plaintiff's account, a $495 lien fee and $1,445 foreclosure-referral fee on another account, and evidence identifying hundreds of North Carolina homeowners who received standardized lien or foreclosure notices or paid more than $1,200 to the collector. The federal court certified notice-of-lien and notice-of-intent-to-foreclose classes while declining to certify the broader unconscionable-fee class as proposed.</t>
  </si>
  <si>
    <t>Named plaintiff accrued $7,463.25 in charges before payments; $3,445 foreclosure-referral fee; hundreds of affected accounts identified</t>
  </si>
  <si>
    <t>Owner/class procedural victory; two classes certified; merits unresolved</t>
  </si>
  <si>
    <t>Federal district court class-certification order</t>
  </si>
  <si>
    <t>Lewis v. EquityExperts.org, LLC</t>
  </si>
  <si>
    <t>Verified – class certification granted in part; final liability unresolved</t>
  </si>
  <si>
    <t>Not a final owner win on liability. Included because the order documents standardized HOA collection mechanisms and large fee escalation across multiple referred homeowner accounts.</t>
  </si>
  <si>
    <t>Collections / Collection Vendor / Fee Escalation / Foreclosure</t>
  </si>
  <si>
    <t>E410</t>
  </si>
  <si>
    <t>Homeowners obtaining substantial reduction of collection legal fees</t>
  </si>
  <si>
    <t>Picket Farm Homeowners Association, Inc.; Schneider Buchel LLP; property management company not named in opinion</t>
  </si>
  <si>
    <t>HOA / association foreclosure counsel / property management company</t>
  </si>
  <si>
    <t>Attorney-as-collector; legal-fee escalation; duplicative billing; payment tender not processed; foreclosure action</t>
  </si>
  <si>
    <t>Owners attempted to bring their HOA account current by delivering a $7,620 check to the property management office, an amount essentially matching the ledger balance. The management company accepted the check, but it was not cashed or returned. The HOA continued litigation. Its foreclosure counsel later sought $16,478.50 in attorney fees plus disbursements and interest. After a hearing, the court found post-February 1 legal work unreasonable, identified duplicative and double billing, rejected unsupported disbursements, and reduced the pre-February fee amount by 25%.</t>
  </si>
  <si>
    <t>HOA counsel sought $16,478.50 attorney fees plus $2,389.22 disbursements; court allowed $2,069.25 fees plus $518.59 interest</t>
  </si>
  <si>
    <t>Owner substantial partial victory on collection fees; most requested legal fees/disbursements rejected</t>
  </si>
  <si>
    <t>State trial court decision after evidentiary hearing</t>
  </si>
  <si>
    <t>Board of Directors of Picket Farm Homeowners Association, Inc. v. Kashimawo</t>
  </si>
  <si>
    <t>Verified – court found significant collection legal fees unreasonable/excessive</t>
  </si>
  <si>
    <t>Owners still owed reduced legal fees and interest, so this is not a complete defense victory. Management company is unnamed, but the opinion expressly documents the owner's payment tender to the management company and the continued escalation through association foreclosure counsel.</t>
  </si>
  <si>
    <t>Collections / HOA Attorney / Excessive Fees / Management Chain</t>
  </si>
  <si>
    <t>E411</t>
  </si>
  <si>
    <t>Condominium owner challenging management-imposed fines</t>
  </si>
  <si>
    <t>Rise Association Management Group, LLC; H.O.A. of Valencia Condominiums, Inc.</t>
  </si>
  <si>
    <t>HOA management company / condominium association</t>
  </si>
  <si>
    <t>Management-issued violation notices; recurring fines; leasing-rule enforcement; fine recovery</t>
  </si>
  <si>
    <t>Owner Joseph Sosa alleged that the HOA and Rise Association Management sent violation notices and fined him for advertising and leasing his condominium for periods shorter than 30 days. The alleged advertising fine was $100 initially plus $100 for each week of continued noncompliance, and the alleged leasing fine was $500. After Sosa later transferred the unit, the trial court dismissed his suit for lack of standing. The Texas Fourteenth Court of Appeals reversed, holding that the fines were imposed personally against Sosa and that he retained standing to seek recovery of fines he had paid and to pursue his contract/declaratory claims.</t>
  </si>
  <si>
    <t>$100 initial advertising fine + $100 per week; $500 leasing fine; owner sought monetary relief</t>
  </si>
  <si>
    <t>Owner appellate victory; dismissal reversed and fine claims revived; merits unresolved</t>
  </si>
  <si>
    <t>Sosa v. Rise Association Management Group, LLC and H.O.A. of Valencia Condominiums, Inc.</t>
  </si>
  <si>
    <t>Verified – owner obtained favorable appellate ruling; final liability unresolved</t>
  </si>
  <si>
    <t>Strong fines/management record because the management group is a named defendant and the notices/fines are central to the suit. Do not code as a final finding that the fines were unauthorized; the appellate court decided standing and remanded.</t>
  </si>
  <si>
    <t>Fines / Management Company / Rule Enforcement / Owner Relief</t>
  </si>
  <si>
    <t>E412</t>
  </si>
  <si>
    <t>Homeowners challenging collection fee structure</t>
  </si>
  <si>
    <t>Gold Crown Management; McCabe, Trotter &amp; Beverly, P.C.; Charleston National Community Association</t>
  </si>
  <si>
    <t>HOA management company / HOA collection law firm / HOA</t>
  </si>
  <si>
    <t>Management referral to collection counsel; administrative fee; attorney collection fee; lien; contingent homeowner-funded fee structure</t>
  </si>
  <si>
    <t>Gold Crown Management enforced the association's covenants and handled the delinquency before referring the owners' account to collection counsel. Gold Crown warned that the account would be turned over to counsel and a lien filed, then referred the file. The collection agreement charged the HOA $65 while identifying $425 in 'fees to Homeowner'; the remaining $360 was not invoiced until collected from the homeowner. After referral, a $431.32 assessment/late-fee balance became a $906.32 lien amount including a $50 administrative/collection fee and $425 legal fee. The homeowners challenged the arrangement under the FDCPA and state consumer law.</t>
  </si>
  <si>
    <t>$431.32 underlying balance became $906.32 after referral; $50 administrative fee; $425 legal fee; homeowner ultimately paid $918.70</t>
  </si>
  <si>
    <t>Homeowners lost FDCPA merits ruling; high-value management-to-attorney financial mechanism documented</t>
  </si>
  <si>
    <t>Federal district court summary-judgment opinion</t>
  </si>
  <si>
    <t>Allison v. McCabe Trotter &amp; Beverly, P.C.</t>
  </si>
  <si>
    <t>Verified – documented referral/fee mechanism; not an owner win</t>
  </si>
  <si>
    <t>High-value mechanism record despite owner loss. Court held the $425 contingent attorney fee had been incurred and was collectible under the governing documents. Inclusion documents how management referral triggered administrative/legal charges and how the attorney compensation was structured; it does not establish pay-to-play or wrongdoing by Gold Crown.</t>
  </si>
  <si>
    <t>Collections / Management Referral / HOA Attorney / Financial Incentive</t>
  </si>
  <si>
    <t>E413</t>
  </si>
  <si>
    <t>Tenant / occupant</t>
  </si>
  <si>
    <t>Tenant challenging management-company collection of HOA fines</t>
  </si>
  <si>
    <t>Ross Morgan &amp; Co., Inc.; Shenandoah Villas Homeowners Association</t>
  </si>
  <si>
    <t>Community management company / HOA</t>
  </si>
  <si>
    <t>Management collection of fines; rule-enforcement penalties; six-figure fine escalation; FDCPA scope</t>
  </si>
  <si>
    <t>A tenant sued the association's community management company, Ross Morgan &amp; Co., alleging FDCPA violations arising from the management company's attempts to collect more than $106,000 in fines imposed for alleged CC&amp;R violations. The federal court dismissed the FDCPA action with prejudice, holding that HOA fines are penalties rather than obligations arising from a consensual transaction and therefore were not 'debt' covered by the FDCPA.</t>
  </si>
  <si>
    <t>More than $106,000 in HOA fines</t>
  </si>
  <si>
    <t>Management company prevailed; complaint dismissed with prejudice; major fines/collection mechanism documented</t>
  </si>
  <si>
    <t>Federal district court decision summarized in 2026 case-law materials</t>
  </si>
  <si>
    <t>Nabatmama v. Ross Morgan &amp; Co., Inc.</t>
  </si>
  <si>
    <t>Verified secondary legal summary – management prevailed; not an owner win</t>
  </si>
  <si>
    <t>Included because the amount and management company's direct role attempting to collect fines are highly relevant to the fines/collections lane. Plaintiff was a tenant rather than titled owner. This record does not establish that the fines themselves were invalid; the court decided only that fines were outside the FDCPA definition of debt.</t>
  </si>
  <si>
    <t>Fines / Management Company / Collections / FDCPA Gap</t>
  </si>
  <si>
    <t>E414</t>
  </si>
  <si>
    <t>Prevailing homeowner defending assessment/fine collection suit</t>
  </si>
  <si>
    <t>Concord Hills Homeowners Association; CAMCO Management Company</t>
  </si>
  <si>
    <t>HOA / management company / collection counsel</t>
  </si>
  <si>
    <t>Violation fines; late fees; payment allocation to fines/fees first; attorney-fee escalation; collection litigation</t>
  </si>
  <si>
    <t>CAMCO served as the association's management company and its property manager testified about rule enforcement, violation notices, fines, late fees, and the owner's ledger. The record showed payments were applied first to late fees and fines. The association's claim grew from $910.53 when collection counsel became involved to roughly $13,000 by trial, including $8,948.08 in legal fees. The trial court entered judgment for the owner because the association failed to prove the claimed default, missed assessments, or maintenance violations, and the Commonwealth Court affirmed.</t>
  </si>
  <si>
    <t>Association sought about $13,000 at trial, including $8,948.08 legal fees; judgment entered for owner</t>
  </si>
  <si>
    <t>Owner victory after trial; association recovered nothing; affirmed on appeal</t>
  </si>
  <si>
    <t>Concord Hills Homeowners Association, Inc. v. Hannig</t>
  </si>
  <si>
    <t>Verified – owner prevailed at trial and on appeal</t>
  </si>
  <si>
    <t>Direct court-opinion link. Management company was not separately held liable; its role is documented in enforcement, notices, ledger/account testimony, and the collection chain. Inclusion does not imply wrongdoing by CAMCO.</t>
  </si>
  <si>
    <t>Fines / Management Company / Collections / Attorney Fees / Owner Win</t>
  </si>
  <si>
    <t>E415</t>
  </si>
  <si>
    <t>Prevailing homeowner challenging daily fines and lien</t>
  </si>
  <si>
    <t>Kansas</t>
  </si>
  <si>
    <t>Cornerstone Residential Owner's Association; association manager</t>
  </si>
  <si>
    <t>HOA / association manager</t>
  </si>
  <si>
    <t>Daily fines; escalating lien; coercive rule enforcement; lien release</t>
  </si>
  <si>
    <t>The association imposed $100-per-day fines over an unfinished-home/lawn dispute and filed a lien that had reached $14,617 and continued to increase by $100 per day. The association's manager testified that the owner needed to finish the exterior and install a yard. After trial, the court found the association's interpretation unreasonable, declared the fines invalid and unenforceable, ordered release of the lien, and awarded the homeowner attorney fees. The Kansas Court of Appeals affirmed and awarded an additional $11,001 in appellate attorney fees.</t>
  </si>
  <si>
    <t>$14,617 lien continuing at $100/day; lien released; homeowner also awarded $11,001 appellate attorney fees plus trial-level fees</t>
  </si>
  <si>
    <t>Owner merits victory; fines invalid, lien released, fees awarded; affirmed</t>
  </si>
  <si>
    <t>Clements v. Cornerstone Residential Owner's Association</t>
  </si>
  <si>
    <t>Verified – homeowner prevailed on merits and appeal</t>
  </si>
  <si>
    <t>Direct court-opinion link. The opinion identifies an association manager but does not identify a separate professional management-company name, so the record should not imply one.</t>
  </si>
  <si>
    <t>Fines / Liens / Daily Penalties / Owner Win</t>
  </si>
  <si>
    <t>E416</t>
  </si>
  <si>
    <t>Prevailing condominium owner recovering paid fines</t>
  </si>
  <si>
    <t>Hawaii</t>
  </si>
  <si>
    <t>Association of Apartment Owners of Kahala Towers; property management company unnamed in opinion</t>
  </si>
  <si>
    <t>Management-delivered fine notice; defective fine policy; recovery of paid fines; attorney fees</t>
  </si>
  <si>
    <t>The association's property management company notified Pendleton that she would be fined if she did not make a specified change to her unit. The association repeatedly assessed fines under its Fine Enforcement Policy, and Pendleton paid $600 under protest. The district court granted summary judgment ordering the $600 returned because the fine policy failed statutory requirements, and awarded more than $16,000 in attorney fees and costs. The Hawaii Intermediate Court of Appeals affirmed.</t>
  </si>
  <si>
    <t>$600 fines returned; $16,109.94 attorney fees plus $65.81 costs affirmed</t>
  </si>
  <si>
    <t>Owner merits victory; fine recovery and attorney-fee award affirmed</t>
  </si>
  <si>
    <t>Pendleton v. Association of Apartment Owners of Kahala Towers</t>
  </si>
  <si>
    <t>Verified – owner prevailed and recovered fines</t>
  </si>
  <si>
    <t>Direct court-opinion link. The opinion expressly states the property management company delivered the fine warning but does not identify that company's name.</t>
  </si>
  <si>
    <t>Fines / Management Chain / Invalid Fine Policy / Owner Win</t>
  </si>
  <si>
    <t>E417</t>
  </si>
  <si>
    <t>Homeowner obtaining partial current relief in fines/legal-fee dispute</t>
  </si>
  <si>
    <t>Haslet Park Homeowner's Association; Mastriana Property Management, Inc.</t>
  </si>
  <si>
    <t>HOA / property management company / association counsel</t>
  </si>
  <si>
    <t>Management-delivered violation notices; daily fines; recorded continuing-violation notice; attorney-fee shifting resolution</t>
  </si>
  <si>
    <t>Mastriana, acting at the board's direction, delivered violation notices and communications in a window dispute. The association later imposed daily fines beginning at $20 per day and increasing to $30 per day, recorded a continuing-violation notice, and adopted a resolution purporting to shift enforcement legal fees to owners. A February 2026 magistrate report struck the monetary fine, but the July 24, 2026 Court of Chancery opinion modified that ruling: reasonable fines after the owner's June 27, 2023 hearing could be authorized, and the association was ordered to document the fines. The court separately held the board's unilateral fee-shifting resolution was not authorized by the governing documents.</t>
  </si>
  <si>
    <t>Daily fines of $20 then $30; earlier record stated fines had exceeded $27,000; final amount/status required supplementation</t>
  </si>
  <si>
    <t>Mixed/partial owner relief; fee-shifting resolution rejected; fine amount still subject to further determination</t>
  </si>
  <si>
    <t>Delaware Court of Chancery memorandum opinion resolving exceptions</t>
  </si>
  <si>
    <t>Jiang v. Haslet Park Homeowner's Association and Mastriana Property Management, Inc.</t>
  </si>
  <si>
    <t>Verified – latest July 24, 2026 ruling used; not coded as complete owner win</t>
  </si>
  <si>
    <t>Direct court-opinion link. Latest ruling supersedes the broader February report on the fines. The court found Mastriana acted as an administrative agent and did not establish fiduciary liability against the management company.</t>
  </si>
  <si>
    <t>Fines / Management Company / Legal Fees / Due Process / Mixed Outcome</t>
  </si>
  <si>
    <t>E418</t>
  </si>
  <si>
    <t>Prevailing homeowners challenging escalating daily fines</t>
  </si>
  <si>
    <t>Mimosa Bay Homeowners Association, Inc.; Community Association Management Services (CAMS)</t>
  </si>
  <si>
    <t>HOA / professional management company</t>
  </si>
  <si>
    <t>Fine hearing; management participation; daily fines; lien; fine escalation above $25,000</t>
  </si>
  <si>
    <t>The HOA held a fine hearing attended by a CAMS manager. The board president testified that the CAMS manager told him North Carolina law allowed a $100-per-day fine; he then imposed $50-per-day fines increasing to $100 per day. The HOA later filed an $11,075 lien and stated the fines had grown beyond $25,000. The Court of Appeals held the underlying ARC decision was invalid under the declaration, ruled the fines unauthorized, reversed summary judgment for the HOA, and remanded for entry of summary judgment for the owners.</t>
  </si>
  <si>
    <t>Lien initially $11,075; fines later stated to exceed $25,000</t>
  </si>
  <si>
    <t>Owner merits victory; fines unauthorized; summary judgment ordered for owners</t>
  </si>
  <si>
    <t>Published/unpublished state appellate opinion</t>
  </si>
  <si>
    <t>Makar v. Mimosa Bay Homeowners Association, Inc.</t>
  </si>
  <si>
    <t>Verified – owners prevailed on merits</t>
  </si>
  <si>
    <t>Direct court-opinion link. CAMS participated in the hearing and supplied information about permissible fine levels, but the opinion attributes the actual decision to impose fines to the HOA president. Do not overstate management liability.</t>
  </si>
  <si>
    <t>Fines / Management Company / Daily Penalties / Lien / Owner Win</t>
  </si>
  <si>
    <t>E419</t>
  </si>
  <si>
    <t>Homeowner obtaining elimination of HOA attorney-fee award</t>
  </si>
  <si>
    <t>Mission Bend Homeowners Association, Inc.; association property management company</t>
  </si>
  <si>
    <t>HOA / property management company / HOA counsel</t>
  </si>
  <si>
    <t>Violation enforcement; denied hearing; attorney-fee collection; management enforcement role</t>
  </si>
  <si>
    <t>Employees of the association's property management company handled restriction enforcement and communicated with the owner over a fountain dispute. The owner timely requested a statutory hearing, but the association never held one. Although the HOA prevailed on enforcement of the restriction, the Court of Appeals held that Texas Property Code section 209.008 barred recovery of all attorney fees incurred before conclusion of the requested hearing. Because no hearing ever occurred, none of the HOA's attorney fees were recoverable from the owner.</t>
  </si>
  <si>
    <t>Entire HOA attorney-fee award eliminated; amount not stated in opinion excerpt</t>
  </si>
  <si>
    <t>Owner partial victory; attorney-fee award eliminated</t>
  </si>
  <si>
    <t>Dao v. Mission Bend Homeowners Association, Inc.</t>
  </si>
  <si>
    <t>Verified – homeowner prevailed on attorney-fee issue</t>
  </si>
  <si>
    <t>Direct court-opinion link. Owner did not defeat the underlying restriction enforcement, so code only the fee relief actually obtained.</t>
  </si>
  <si>
    <t>Fines / Management Enforcement / Due Process / Attorney Fees / Owner Relief</t>
  </si>
  <si>
    <t>E420</t>
  </si>
  <si>
    <t>Homeowners obtaining reversal on amount of fines and collection recovery</t>
  </si>
  <si>
    <t>Coldwater Creek Homeowners Association, Inc.; Southern Property Management</t>
  </si>
  <si>
    <t>Fines; lien; management ledger; disputed amount; collection judgment</t>
  </si>
  <si>
    <t>The HOA assessed fines for alleged maintenance and leasing violations and imposed a lien. The trial court entered a $18,759.83 collection judgment for the HOA. On appeal, the owners produced a statement of charges bearing the HOA's letterhead and Southern Property Management insignia showing an initial $5,075 charge, creating a material discrepancy in the amount claimed. The Georgia Court of Appeals reversed summary judgment as to the amount the HOA could recover on its collection counterclaim.</t>
  </si>
  <si>
    <t>$18,759.83 trial judgment challenged; management-linked statement showed $5,075 initial charge</t>
  </si>
  <si>
    <t>Owner partial appellate victory; amount-of-fines/collection judgment reversed for further proceedings</t>
  </si>
  <si>
    <t>Ochoa v. Coldwater Creek Homeowners Association, Inc.</t>
  </si>
  <si>
    <t>Verified – owners obtained partial reversal</t>
  </si>
  <si>
    <t>Direct court-opinion link. The owners lost their affirmative claims, so this is not a complete owner win. Management significance is the account statement bearing Southern Property Management's insignia and the disputed fine accounting.</t>
  </si>
  <si>
    <t>Fines / Management Ledger / Lien / Collection Amount / Owner Relief</t>
  </si>
  <si>
    <t>E421</t>
  </si>
  <si>
    <t>Prevailing owner after association withdrew disputed fine</t>
  </si>
  <si>
    <t>Bayshore Property Owners Association, Inc.</t>
  </si>
  <si>
    <t>Property owners association</t>
  </si>
  <si>
    <t>Fine enforcement; owner lawsuit; association clears charges; statutory fee shifting</t>
  </si>
  <si>
    <t>The association fined owner Michael Bragdon over a satellite-dish mounting bracket. Bragdon sued to invalidate the charges. During the litigation the association cleared his account, giving him the substantive relief he sought. The Delaware Court of Chancery held that the dispute was an appropriate case for expense shifting under DUCIOA and awarded Bragdon $12,697.84 in attorney fees and costs.</t>
  </si>
  <si>
    <t>$12,697.84 awarded to owner in fees and costs; disputed charges cleared</t>
  </si>
  <si>
    <t>Owner victory through mootness relief plus fee award</t>
  </si>
  <si>
    <t>Published Delaware Court of Chancery opinion</t>
  </si>
  <si>
    <t>Bragdon v. Bayshore Property Owners Association, Inc.</t>
  </si>
  <si>
    <t>Verified – owner obtained requested relief and expense award</t>
  </si>
  <si>
    <t>Direct court-opinion link. No separate professional management company is identified in the opinion. Included because this is a clean fines/owner-relief result.</t>
  </si>
  <si>
    <t>Fines / Owner Win / Fee Shifting / Charges Cleared</t>
  </si>
  <si>
    <t>E422</t>
  </si>
  <si>
    <t>Prevailing homeowner defeating HOA collection action</t>
  </si>
  <si>
    <t>Kilbourn Woods Homeowners Association, Inc.</t>
  </si>
  <si>
    <t>Assessments/fines; collection action; contractual limitations period; lien-related remedies</t>
  </si>
  <si>
    <t>The HOA sued homeowner Valaria Brooks to recover amounts under its declaration, which authorized collection actions, fines, and lien enforcement. The Wisconsin Court of Appeals held the HOA filed outside the declaration's contractual two-to-six-month enforcement window, reversed the judgment, and directed the circuit court to dismiss the HOA's complaint and enter judgment for Brooks.</t>
  </si>
  <si>
    <t>Amount not stated in cited opinion</t>
  </si>
  <si>
    <t>Owner victory; HOA collection complaint ordered dismissed</t>
  </si>
  <si>
    <t>State appellate opinion</t>
  </si>
  <si>
    <t>Kilbourn Woods Homeowners Association, Inc. v. Brooks</t>
  </si>
  <si>
    <t>Verified – homeowner prevailed</t>
  </si>
  <si>
    <t>Direct court-opinion link. This is a collection-enforcement win based on timing/contract interpretation, not a finding that all underlying assessments or potential fines were invalid.</t>
  </si>
  <si>
    <t>Collections / Fines / Contractual Limits / Owner Win</t>
  </si>
  <si>
    <t>E423</t>
  </si>
  <si>
    <t>Homeowner defeating extraordinary daily-fine demand but losing on underlying violation</t>
  </si>
  <si>
    <t>Wellsgate Homeowners Association; association management company</t>
  </si>
  <si>
    <t>HOA / management company / HOA counsel</t>
  </si>
  <si>
    <t>Management violation notice; daily fines; defective notice; attorney-fee escalation</t>
  </si>
  <si>
    <t>The association's management company sent a violation notice concerning short-term rentals to an address where the owner had never lived. The association's rules contemplated first-violation fines of 75% of nightly rent or $1,000 per day, whichever was greater, escalating on repeat violations. The chancery court held the notice insufficient and denied the association's request for those daily fines. It awarded only $777.50 of $4,774.97 requested attorney fees. On appeal, however, the attorney-fee award was reversed and remanded for reconsideration because the HOA was entitled to reasonable fees for enforcing the covenants.</t>
  </si>
  <si>
    <t>Potential first-offense fine at least $1,000/day; $4,774.97 attorney fees requested; daily fines denied</t>
  </si>
  <si>
    <t>Mixed outcome; owner defeated daily fines due to defective management notice; HOA retained underlying enforcement/fee rights</t>
  </si>
  <si>
    <t>Wellsgate Homeowners Association v. Hilton</t>
  </si>
  <si>
    <t>Verified – mixed outcome, not a complete owner win</t>
  </si>
  <si>
    <t>Direct court-opinion link. Included for the management-notice mechanism and extraordinary daily-fine schedule. Appellate court was favorable to HOA on attorney-fee reconsideration, so do not code as an overall homeowner victory.</t>
  </si>
  <si>
    <t>Fines / Management Notice / Daily Penalties / Attorney Fees / Mixed Outcome</t>
  </si>
  <si>
    <t>E424</t>
  </si>
  <si>
    <t>Two condominium owners obtaining foreclosure reversals</t>
  </si>
  <si>
    <t>Sebastian Lakes Condominium Association, Inc.; successor property management company</t>
  </si>
  <si>
    <t>Management ledger transition; inability to verify balances; collection letters; lien foreclosure</t>
  </si>
  <si>
    <t>Two owners challenged foreclosure judgments after a new management company took over the association's accounts. The management-company witness could not establish the accuracy of balances carried forward from before the takeover, including disputed credits. The appellate court held the association failed to lay the required business-record foundation for the ledgers and reversed both foreclosure judgments.</t>
  </si>
  <si>
    <t>Demand letters claimed approximately $10,174.42 and $10,060.40 including assessments and collection fees</t>
  </si>
  <si>
    <t>Owner appellate victory; two foreclosure judgments reversed</t>
  </si>
  <si>
    <t>Published Florida appellate opinion</t>
  </si>
  <si>
    <t>Yang &amp; Romeo v. Sebastian Lakes Condominium Association, Inc.</t>
  </si>
  <si>
    <t>Verified – owners prevailed on appeal</t>
  </si>
  <si>
    <t>Direct court-opinion link. Strong management-ledger case: the defect was proof of the account after a management-company transition, not a finding that management intentionally falsified records.</t>
  </si>
  <si>
    <t>Collections / Management Ledger / Foreclosure / Owner Win</t>
  </si>
  <si>
    <t>E425</t>
  </si>
  <si>
    <t>Condominium owner obtaining reversal of six-figure foreclosure judgment</t>
  </si>
  <si>
    <t>Villas at Lakeside Condominium Association, Inc.; association management/accounting witnesses</t>
  </si>
  <si>
    <t>Condominium association / management-accounting chain / collection counsel</t>
  </si>
  <si>
    <t>Assessment ledger proof; late fees; other fees; attorney-fee escalation; foreclosure</t>
  </si>
  <si>
    <t>The association obtained a foreclosure judgment of $135,205.80. The appellate court reversed because the association failed to prove both entitlement to foreclose and the amounts awarded. The judgment included $48,533.91 in principal, interest, late fees and other fees and $80,590.76 in attorney fees.</t>
  </si>
  <si>
    <t>$135,205.80 judgment reversed, including $80,590.76 attorney fees</t>
  </si>
  <si>
    <t>Owner appellate victory; foreclosure judgment reversed</t>
  </si>
  <si>
    <t>Rajabi v. Villas at Lakeside Condominium Association, Inc.</t>
  </si>
  <si>
    <t>Verified – owner prevailed on core foreclosure judgment</t>
  </si>
  <si>
    <t>Direct court-opinion link. High-value fee-escalation/accounting record. Do not infer management-company misconduct unless separately established.</t>
  </si>
  <si>
    <t>Collections / Foreclosure / Ledger Proof / Attorney Fees / Owner Win</t>
  </si>
  <si>
    <t>E426</t>
  </si>
  <si>
    <t>Homeowners prevailing against HOA fine enforcement</t>
  </si>
  <si>
    <t>Belmont Glen Homeowners Association, Inc.</t>
  </si>
  <si>
    <t>Seasonal-rule fines; injunction; attorney-fee escalation; unenforceable rule</t>
  </si>
  <si>
    <t>Belmont Glen obtained a judgment for $884.17 in fines plus $39,148.25 in attorney fees and an injunction based on seasonal-decoration guidelines. The Supreme Court of Virginia held the guidelines exceeded the declaration's authority and reversed the monetary judgment, injunction, and attorney-fee award.</t>
  </si>
  <si>
    <t>$884.17 fines and $39,148.25 attorney fees reversed</t>
  </si>
  <si>
    <t>Owner merits victory; fines/rule enforcement and fee award reversed</t>
  </si>
  <si>
    <t>State supreme court opinion</t>
  </si>
  <si>
    <t>Sainani v. Belmont Glen Homeowners Association, Inc.</t>
  </si>
  <si>
    <t>Verified – homeowners prevailed</t>
  </si>
  <si>
    <t>Direct court-opinion link. Same underlying dispute later generated a substantial prevailing-party fee award for the homeowners; coded as one matter to avoid duplication.</t>
  </si>
  <si>
    <t>Fines / Unenforceable Rules / Attorney Fees / Owner Win</t>
  </si>
  <si>
    <t>E427</t>
  </si>
  <si>
    <t>Homeowners obtaining consumer-protection ruling in HOA collection case</t>
  </si>
  <si>
    <t>Webber Springs Owners Association, Inc.</t>
  </si>
  <si>
    <t>HOA / self-directed collection entity</t>
  </si>
  <si>
    <t>Assessment liens; attorney fees; repeated lien filings; consumer debt collection protections</t>
  </si>
  <si>
    <t>Webber Springs filed liens and collection suits for unpaid assessments, attorney fees and costs. The homeowners alleged unfair debt-collection practices and sought class treatment. West Virginia's highest court held HOA assessments are consumer claims and that an HOA collecting them is a debt collector subject to the state's consumer-credit protection statute, reversing summary judgment on the homeowners' consumer claims.</t>
  </si>
  <si>
    <t>Record stated association had filed at least 111 lien notices since 2003</t>
  </si>
  <si>
    <t>Owner partial appellate victory; consumer-protection claims revived</t>
  </si>
  <si>
    <t>Fleet v. Webber Springs Owners Association, Inc.</t>
  </si>
  <si>
    <t>Verified – homeowners prevailed on consumer-law issue</t>
  </si>
  <si>
    <t>Direct court-opinion link. Court upheld the association's ability to have consensual assessment liens, so this is a mixed result with a significant owner victory on debt-collection law.</t>
  </si>
  <si>
    <t>Collections / Consumer Protection / Liens / Owner Relief</t>
  </si>
  <si>
    <t>E428</t>
  </si>
  <si>
    <t>Homeowners prevailing on unauthorized assessment program</t>
  </si>
  <si>
    <t>Palisades Park Owners Association, Inc.</t>
  </si>
  <si>
    <t>Lot-compliance inspection charges; assessments; prevailing-party attorney fees</t>
  </si>
  <si>
    <t>The association used owner assessments to fund lot-compliance inspections. The Virginia Court of Appeals held state law prohibited the association from imposing assessments for inspections not expressly authorized by the declaration, reversed judgment for the association, and held the homeowners were the prevailing parties entitled to reasonable attorney fees and costs at trial, on appeal, and on remand.</t>
  </si>
  <si>
    <t>Attorney fees and costs awarded to homeowners on remand; amount not fixed in opinion</t>
  </si>
  <si>
    <t>Owner merits victory; unauthorized assessments barred and fees awarded</t>
  </si>
  <si>
    <t>Published Virginia appellate opinion</t>
  </si>
  <si>
    <t>Burkholder &amp; Thompson v. Palisades Park Owners Association, Inc.</t>
  </si>
  <si>
    <t>Direct court-opinion link. Not a delinquency case, but directly relevant to assessment authority and owner-funded enforcement systems.</t>
  </si>
  <si>
    <t>Assessments / Compliance Inspections / Owner Win / Attorney Fees</t>
  </si>
  <si>
    <t>E430</t>
  </si>
  <si>
    <t>Homeowner obtaining foreclosure and attorney-fee reversal</t>
  </si>
  <si>
    <t>Rob Roy Homeowners Association, Inc.</t>
  </si>
  <si>
    <t>HOA / board-directed collection counsel</t>
  </si>
  <si>
    <t>Board referral to collections; fines and assessments; judicial foreclosure; attorney-fee escalation</t>
  </si>
  <si>
    <t>The HOA's board voted to send the owner's account to collections and later obtained summary judgment for $21,191.31 plus $18,051.63 in attorney fees and judicial foreclosure. The Texas Court of Appeals reversed the judicial-foreclosure judgment and the trial-level attorney-fee award and remanded those issues, while affirming other portions of the judgment.</t>
  </si>
  <si>
    <t>$21,191.31 damages judgment; $18,051.63 trial attorney fees; foreclosure reversed/remanded</t>
  </si>
  <si>
    <t>Owner partial appellate victory; foreclosure and attorney-fee rulings reversed</t>
  </si>
  <si>
    <t>Published Texas appellate opinion</t>
  </si>
  <si>
    <t>Phillips v. Rob Roy Homeowners Association, Inc.</t>
  </si>
  <si>
    <t>Verified – owner prevailed on foreclosure and fee issues</t>
  </si>
  <si>
    <t>Direct court-opinion link. Owner did not defeat all assessments/fines, so code only the foreclosure and attorney-fee relief.</t>
  </si>
  <si>
    <t>Collections / Fines / Foreclosure / Attorney Fees / Owner Relief</t>
  </si>
  <si>
    <t>E431</t>
  </si>
  <si>
    <t>Homeowner obtaining reversal of fines/enforcement summary judgment</t>
  </si>
  <si>
    <t>Green Shadows Homeowners Association, Inc.</t>
  </si>
  <si>
    <t>Rule-enforcement fines; architectural dispute; attorney fees; summary judgment</t>
  </si>
  <si>
    <t>The HOA counterclaimed against Hurley over an alleged roof/covenant violation and sought fines and attorney fees. The trial court granted summary judgment to the HOA and awarded attorney fees. The Tennessee Court of Appeals held material factual disputes remained, reversed summary judgment and the HOA's attorney-fee award, and vacated dismissal of the owner's declaratory action.</t>
  </si>
  <si>
    <t>Fine amount not stated in appellate opinion; HOA attorney-fee award reversed</t>
  </si>
  <si>
    <t>Owner appellate victory; HOA summary judgment and attorney-fee award reversed</t>
  </si>
  <si>
    <t>Published Tennessee appellate opinion</t>
  </si>
  <si>
    <t>Hurley v. Green Shadows Homeowners Association, Inc.</t>
  </si>
  <si>
    <t>Verified – owner obtained significant appellate relief</t>
  </si>
  <si>
    <t>Direct court-opinion link. Merits remained for remand; do not code as final determination that all fines were invalid.</t>
  </si>
  <si>
    <t>Fines / Enforcement / Attorney Fees / Owner Relief</t>
  </si>
  <si>
    <t>E432</t>
  </si>
  <si>
    <t>Condominium purchaser obtaining summary judgment against old assessment charges</t>
  </si>
  <si>
    <t>Summit at Neptune Condominium Association</t>
  </si>
  <si>
    <t>Condominium association</t>
  </si>
  <si>
    <t>Prior-owner assessments; lien carryover; legal fee; post-foreclosure collection</t>
  </si>
  <si>
    <t>After Gupta purchased a unit at a first-mortgage sheriff sale, the association billed him for assessments incurred by the prior owner. The New Jersey Appellate Division held the Condominium Act exempted the purchaser from those pre-sale charges, reversed summary judgment for the association, and directed entry of summary judgment for Gupta.</t>
  </si>
  <si>
    <t>Pre-sale assessments removed; separate $175 post-judgment legal fee noted but not adjudicated</t>
  </si>
  <si>
    <t>Owner merits victory; summary judgment ordered for owner</t>
  </si>
  <si>
    <t>Gupta v. Summit at Neptune Condominium Association</t>
  </si>
  <si>
    <t>Verified – owner prevailed</t>
  </si>
  <si>
    <t>Direct court-opinion link. Unpublished but authoritative for the parties; included because it is a clean collection-liability victory.</t>
  </si>
  <si>
    <t>Collections / Prior-Owner Debt / Liens / Owner Win</t>
  </si>
  <si>
    <t>E433</t>
  </si>
  <si>
    <t>Homeowner defeating HOA foreclosure based on unlevied charge</t>
  </si>
  <si>
    <t>South Fork of Hillsborough County II Homeowners Association</t>
  </si>
  <si>
    <t>HOA / property-manager collection practice / HOA counsel</t>
  </si>
  <si>
    <t>Attorney-fee charge entered on ledger; property-manager/agent assessment practice; lien; foreclosure</t>
  </si>
  <si>
    <t>The HOA ledger began with a $475.50 'Attorney Fees-Collections' entry, then added late fees, interest and delinquency-letter fees, growing to $1,698.45 before foreclosure. The court found no evidence the board had actually levied the individual assessment and specifically noted the governing documents did not authorize a property manager or agent to levy it. The appellate court reversed the foreclosure and ordered summary judgment for the homeowner.</t>
  </si>
  <si>
    <t>$475.50 attorney charge grew to $1,698.45 before foreclosure</t>
  </si>
  <si>
    <t>Owner merits victory; foreclosure reversed and summary judgment ordered for owner</t>
  </si>
  <si>
    <t>Desch v. South Fork of Hillsborough County II Homeowners Association</t>
  </si>
  <si>
    <t>Direct court-opinion link. Especially strong management-chain record because the opinion expressly distinguishes board authority from a property manager/agent's collection practice.</t>
  </si>
  <si>
    <t>Collections / Management Authority / Attorney Fees / Foreclosure / Owner Win</t>
  </si>
  <si>
    <t>E434</t>
  </si>
  <si>
    <t>Homeowner obtaining foreclosure-sale reversal</t>
  </si>
  <si>
    <t>Scribner Village Homeowners Association, Inc.</t>
  </si>
  <si>
    <t>HOA / foreclosure counsel</t>
  </si>
  <si>
    <t>Assessment-lien foreclosure; bankruptcy stay; HOA purchase at sale; writ of possession</t>
  </si>
  <si>
    <t>The HOA obtained a foreclosure judgment and proceeded with a public sale after the homeowner filed bankruptcy and notified the state court of the automatic stay. The HOA was the highest bidder and obtained title. The appellate court held the sale should not have proceeded while the bankruptcy stay was in effect and ordered the sale and everything flowing from it set aside.</t>
  </si>
  <si>
    <t>Property sold to HOA at foreclosure sale; amount not stated</t>
  </si>
  <si>
    <t>Owner appellate victory; foreclosure sale/title consequences set aside</t>
  </si>
  <si>
    <t>Alexandre v. Scribner Village Homeowners Association, Inc.</t>
  </si>
  <si>
    <t>Direct court-opinion link. Procedural bankruptcy-stay victory rather than a ruling that underlying assessments were not owed.</t>
  </si>
  <si>
    <t>Collections / Foreclosure / Bankruptcy Stay / Owner Win</t>
  </si>
  <si>
    <t>E435</t>
  </si>
  <si>
    <t>Homeowner obtaining voiding of HOA foreclosure judgment and sale</t>
  </si>
  <si>
    <t>The Oaks Master Property Owners Association, Inc.</t>
  </si>
  <si>
    <t>Assessment foreclosure; defective service; known alternate address; sale to third party</t>
  </si>
  <si>
    <t>The HOA obtained a default foreclosure judgment and sold the property after using service by publication. The appellate court found the search for the owner insufficient and the affidavit inaccurate because the HOA was aware of another Florida address. It held the foreclosure judgment void and reversed the order refusing to vacate the judgment and sale.</t>
  </si>
  <si>
    <t>Property sold at public auction; amounts not stated</t>
  </si>
  <si>
    <t>Owner merits/procedural victory; foreclosure judgment declared void</t>
  </si>
  <si>
    <t>Martins v. The Oaks Master Property Owners Association, Inc.</t>
  </si>
  <si>
    <t>Direct court-opinion link. Strong foreclosure-process record; not a determination that assessments themselves were invalid.</t>
  </si>
  <si>
    <t>Collections / Foreclosure / Notice / Owner Win</t>
  </si>
  <si>
    <t>E436</t>
  </si>
  <si>
    <t>Homeowner obtaining reversal of HOA foreclosure summary judgment</t>
  </si>
  <si>
    <t>Mahogany Way Homeowners Association, Inc.</t>
  </si>
  <si>
    <t>HOA / collection counsel</t>
  </si>
  <si>
    <t>Overstated lien; assessments; collection fees; attorney-fee escalation; foreclosure</t>
  </si>
  <si>
    <t>The association's notices and lien contained materially different assessment amounts. One letter sought $666.72; the owner tendered $342 in assessments while disputing other charges. A later claim of lien showed $1,226 in assessments, while the complaint alleged $568. The trial court entered foreclosure for an ultimate balance of $1,295 and reserved jurisdiction over $33,267.50 in requested attorney fees. The appellate court reversed summary judgment for the HOA because factual disputes remained.</t>
  </si>
  <si>
    <t>Underlying assessments in hundreds of dollars; $33,267.50 attorney fees requested</t>
  </si>
  <si>
    <t>Owner partial appellate victory; foreclosure summary judgment reversed</t>
  </si>
  <si>
    <t>Pash v. Mahogany Way Homeowners Association, Inc.</t>
  </si>
  <si>
    <t>Verified – owner obtained foreclosure reversal</t>
  </si>
  <si>
    <t>Direct court-opinion link. Majority did not hold the lien automatically invalid merely because of an overstatement; remanded for further proceedings.</t>
  </si>
  <si>
    <t>Collections / Lien Overstatement / Attorney Fees / Foreclosure / Owner Relief</t>
  </si>
  <si>
    <t>E437</t>
  </si>
  <si>
    <t>Homeowner / investor owner</t>
  </si>
  <si>
    <t>Owners obtaining take-nothing judgment on one HOA unit and fee reconsideration</t>
  </si>
  <si>
    <t>Holly Oaks Townhomes Association, Inc.; related condominium associations</t>
  </si>
  <si>
    <t>HOAs / collection counsel</t>
  </si>
  <si>
    <t>Prior-owner dues; foreclosure-acquired unit; assessments; attorney fees; multi-unit collection</t>
  </si>
  <si>
    <t>Owners/investors litigated liability for unpaid association dues across multiple condominium units. The Texas appellate court held Holly Oaks' declaration prevented it from holding the foreclosure purchaser personally liable for all outstanding dues on one unit, reversed that portion, rendered take-nothing judgment for the association on that unit, and reversed/remanded the HOA's attorney-fee award for reconsideration.</t>
  </si>
  <si>
    <t>HOA recovered nothing on seven of seventeen units at trial; $68,000 trial attorney-fee award was remanded after additional owner success</t>
  </si>
  <si>
    <t>Owner partial merits victory; take-nothing judgment on one unit and fee award reconsidered</t>
  </si>
  <si>
    <t>Bundren et al. v. Holly Oaks Townhomes Association, Inc. et al.</t>
  </si>
  <si>
    <t>Verified – owners prevailed on specified unit/fee issue</t>
  </si>
  <si>
    <t>Direct court-opinion link. Multi-association, multi-unit case; code narrowly to the specific claims owners actually won.</t>
  </si>
  <si>
    <t>Collections / Prior-Owner Debt / Attorney Fees / Owner Relief</t>
  </si>
  <si>
    <t>E438</t>
  </si>
  <si>
    <t>Group of homeowners prevailing on HOA duties and fine-related claims</t>
  </si>
  <si>
    <t>Eldorado Homeowners Association, Inc.; property management company / association manager</t>
  </si>
  <si>
    <t>Management-issued violation communications; $50 fine folded into annual assessment; declaratory relief; attorney fees</t>
  </si>
  <si>
    <t>Homeowners sued over retaining-wall maintenance responsibility and related enforcement. One homeowner stated a $50 fine had been placed on his association account and unknowingly paid because it was included in the annual assessment. The HOA relied on declarations from a former property manager/current association manager. The trial court granted homeowners substantial declaratory/breach relief and attorney fees; the appellate court vacated only one advisory declaration and otherwise affirmed the homeowners' judgment and fee awards.</t>
  </si>
  <si>
    <t>$50 fine documented; homeowner group retained substantial judgment and attorney-fee awards</t>
  </si>
  <si>
    <t>Owner group victory substantially affirmed on appeal</t>
  </si>
  <si>
    <t>Eldorado Homeowners Association, Inc. v. Clough et al.</t>
  </si>
  <si>
    <t>Verified – homeowners substantially prevailed</t>
  </si>
  <si>
    <t>Direct court-opinion link. Do not characterize the case as solely a fine case; fine/account inclusion is one documented part of a broader common-area enforcement dispute.</t>
  </si>
  <si>
    <t>Fines / Management Chain / Governance / Owner Win</t>
  </si>
  <si>
    <t>E439</t>
  </si>
  <si>
    <t>Homeowners obtaining reversal of premature HOA attorney-fee award</t>
  </si>
  <si>
    <t>The Preserve at Bay Hill Estates Homeowners Association, Inc.</t>
  </si>
  <si>
    <t>Rule enforcement; summary judgment; prevailing-party attorney fees</t>
  </si>
  <si>
    <t>Homeowners appealed an HOA summary-judgment order and a prevailing-party attorney-fee award. The Florida appellate court held the underlying summary-judgment order was nonfinal and therefore not yet appealable, but reversed the attorney-fee award in its entirety as premature.</t>
  </si>
  <si>
    <t>Attorney-fee award reversed in full; amount not stated in opinion</t>
  </si>
  <si>
    <t>Owner partial appellate victory; fee award reversed as premature</t>
  </si>
  <si>
    <t>Rigoli v. Preserve at Bay Hill Estates Homeowners Association, Inc.</t>
  </si>
  <si>
    <t>Verified – homeowners prevailed on fee-order issue</t>
  </si>
  <si>
    <t>Direct court-opinion link. Underlying rule-enforcement merits were not resolved by this appellate opinion.</t>
  </si>
  <si>
    <t>Fines / Rule Enforcement / Attorney Fees / Owner Relief</t>
  </si>
  <si>
    <t>E440</t>
  </si>
  <si>
    <t>Prevailing condominium owners challenging management-linked fines</t>
  </si>
  <si>
    <t>Lakeland Homeowners Association; Pinnacle Management / American Management Services NW LLC</t>
  </si>
  <si>
    <t>HOA / professional property management company</t>
  </si>
  <si>
    <t>Management-issued violation notice; daily fines; rental restriction; resale-certificate information; attorney fees</t>
  </si>
  <si>
    <t>Pinnacle managed the condominium properties, provided the resale-certificate materials, approved the owners' rental application, and later notified them that the same lease violated a separate declaration and that a $30-per-day penalty would be imposed. The HOA sought $5,060 in unpaid fines. The trial court held the rental restriction did not apply, canceled the fines, and awarded the owners $24,774.98 in attorney fees. The Washington Court of Appeals affirmed and also awarded appellate attorney fees.</t>
  </si>
  <si>
    <t>$5,060 fines canceled; $24,774.98 trial attorney fees awarded to owners plus appellate fees</t>
  </si>
  <si>
    <t>Owner merits victory; fines canceled and attorney fees awarded; affirmed</t>
  </si>
  <si>
    <t>Published Washington appellate opinion</t>
  </si>
  <si>
    <t>White v. Lakeland Homeowners Association</t>
  </si>
  <si>
    <t>Verified – homeowners prevailed at trial and on appeal</t>
  </si>
  <si>
    <t>Direct court-opinion link. Strong management-chain record because Pinnacle both supplied/approved rental information and later delivered the violation notice. The opinion does not establish intentional wrongdoing by Pinnacle.</t>
  </si>
  <si>
    <t>Fines / Management Company / Rental Enforcement / Attorney Fees / Owner Win</t>
  </si>
  <si>
    <t>E441</t>
  </si>
  <si>
    <t>Homeowner obtaining reversal of HOA fine judgment</t>
  </si>
  <si>
    <t>Winslow at Eagle's Landing Homeowners Association, Inc.</t>
  </si>
  <si>
    <t>Weekly fines; lien exposure; undocumented fine policy; attorney fees</t>
  </si>
  <si>
    <t>The HOA imposed $100-per-week fines after owner Askia Abdullah installed a flower bed without prior approval. The declaration allowed reasonable fines imposed in accordance with its terms, but the appellate record contained no rule, regulation, bylaw, or declaration provision establishing the $100-per-week fine. The Georgia Court of Appeals reversed summary judgment for the HOA, holding the HOA failed to establish that the accumulated fines were authorized.</t>
  </si>
  <si>
    <t>$100 per week fines; accumulated amount not stated</t>
  </si>
  <si>
    <t>Owner appellate victory; HOA summary judgment on accumulated fines reversed</t>
  </si>
  <si>
    <t>Published Georgia appellate opinion</t>
  </si>
  <si>
    <t>Abdullah v. Winslow at Eagle's Landing Homeowners Association, Inc.</t>
  </si>
  <si>
    <t>Verified – owner prevailed on fine-authority issue</t>
  </si>
  <si>
    <t>Direct court-opinion link. The court did not hold that HOAs generally cannot fine; it held this association had not shown that this fine practice was authorized under its governing documents and state statute.</t>
  </si>
  <si>
    <t>Fines / Undocumented Fine Policy / Liens / Owner Relief</t>
  </si>
  <si>
    <t>E442</t>
  </si>
  <si>
    <t>Condominium owner defeating HOA foreclosure under collection policy</t>
  </si>
  <si>
    <t>The Neighborhood Association, Inc.; association property manager; association foreclosure counsel</t>
  </si>
  <si>
    <t>HOA / property manager / HOA collection counsel</t>
  </si>
  <si>
    <t>Standard foreclosure policy; automatic referral to counsel; attorney fees; collection costs; fines; rule-adoption defect</t>
  </si>
  <si>
    <t>The association adopted a standard collection/foreclosure policy that sent accounts owing at least two months of common charges to counsel for foreclosure. The policy made owners responsible for collection costs, including a $225 initial attorney demand-letter fee, and prescribed payment allocation among assessments, interest, late fees, fines, special assessments, and attorney fees. The property manager characterized the policy as an internal document. The Connecticut Supreme Court held the foreclosure policy was a rule requiring owner notice and comment, found the adoption defect jurisdictional, reversed the foreclosure judgment, and directed dismissal of the action.</t>
  </si>
  <si>
    <t>Policy specified $225 initial attorney-demand fee plus other collection costs; underlying debt amount not stated</t>
  </si>
  <si>
    <t>Owner merits/procedural victory; foreclosure judgment reversed and action ordered dismissed</t>
  </si>
  <si>
    <t>Neighborhood Association, Inc. v. Limberger</t>
  </si>
  <si>
    <t>Verified – owner defeated foreclosure action</t>
  </si>
  <si>
    <t>Direct court-opinion link. High-value collection-mechanism record because it documents automatic attorney referral, collection fees, fines and payment-allocation rules, as well as the property manager's role in characterizing the policy.</t>
  </si>
  <si>
    <t>Collections / Foreclosure Policy / Management Chain / Attorney Fees / Owner Win</t>
  </si>
  <si>
    <t>E443</t>
  </si>
  <si>
    <t>Homeowner / resident</t>
  </si>
  <si>
    <t>Residents obtaining revival of fine-related claims</t>
  </si>
  <si>
    <t>The Shores at Lake Ray Hubbard Owners Association, Inc.; management company unnamed in opinion</t>
  </si>
  <si>
    <t>Management-issued fine notices; $250/$500 parking fines; attorney referral; lien threat; foreclosure-style escalation</t>
  </si>
  <si>
    <t>The governing enforcement procedure required the management company to send certified violation letters warning of a $250 first fine and $500 subsequent fines, referral to an attorney, and attorney fees charged to the homeowner account. Unpaid fines progressed to demand letters and lien filing. Residents sued after being fined for parking on public streets. In January 2026 the Texas Court of Appeals reversed dismissal of the Lutzes' declaratory and fiduciary-duty claims for lack of standing and remanded the dispute, while also reversing the parties' partial-summary-judgment order.</t>
  </si>
  <si>
    <t>$250 first fine; $500 subsequent fines; unpaid fines subject to attorney referral and lien</t>
  </si>
  <si>
    <t>Resident partial appellate victory; claims revived/remanded; merits unresolved</t>
  </si>
  <si>
    <t>The Shores at Lake Ray Hubbard Owners Association, Inc. v. Lutz et al.</t>
  </si>
  <si>
    <t>Verified – residents obtained procedural appellate relief; final liability unresolved</t>
  </si>
  <si>
    <t>Direct court-opinion link. Particularly useful as a documented management-to-attorney-to-lien escalation mechanism. Management-company name is not identified in the opinion, and no final finding of improper fines has yet been made.</t>
  </si>
  <si>
    <t>Fines / Management Company / Attorney Referral / Liens / Pending</t>
  </si>
  <si>
    <t>E444</t>
  </si>
  <si>
    <t>Homeowners with management-company fine/discrimination claims surviving dismissal</t>
  </si>
  <si>
    <t>The Moorings of Oak Harbor Property Owners' Association LLC; Community Management, LLC; HOA officers</t>
  </si>
  <si>
    <t>HOA / professional property management company / HOA officers</t>
  </si>
  <si>
    <t>Management-linked enforcement; fines above $22,000; lien threats; selective enforcement allegations</t>
  </si>
  <si>
    <t>Homeowners Lauren and Shalmon Stennis sued the HOA, Community Management, and HOA officers alleging discriminatory enforcement after construction of their home. Their amended complaint alleged defendants levied more than $22,000 in fines, threatened liens, denied community access, and treated comparable white residents differently. In September 2024 the federal court denied dismissal of the homeowners' Fair Housing Act, Civil Rights Act, and negligence claims while dismissing only their intentional-infliction claim.</t>
  </si>
  <si>
    <t>More than $22,000 in alleged fines; lien threats also alleged</t>
  </si>
  <si>
    <t>Owner partial pleading-stage victory; major claims survived; merits unresolved</t>
  </si>
  <si>
    <t>Federal district court order on motion to dismiss</t>
  </si>
  <si>
    <t>Stennis et al. v. The Moorings of Oak Harbor Property Owners' Association LLC et al.</t>
  </si>
  <si>
    <t>Verified – claims survived dismissal in part; allegations not adjudicated</t>
  </si>
  <si>
    <t>Direct court-order link. This is a complaint/mechanism record, not proof that the fines, lien threats, discrimination allegations, or management conduct were unlawful. Included because the property management firm is a named defendant and substantial fine/lien allegations survived the pleading stage.</t>
  </si>
  <si>
    <t>Fines / Management Company / Lien Threats / Discrimination / Pending</t>
  </si>
  <si>
    <t>E446</t>
  </si>
  <si>
    <t>Condominium owner/class obtaining revival of claims against HOA and management company</t>
  </si>
  <si>
    <t>Salt Springs Resort Condominium Association, Inc.; Bosshardt Property Management, LLC</t>
  </si>
  <si>
    <t>Condominium association / professional property management company</t>
  </si>
  <si>
    <t>Management-linked assessment collection; public delinquency list; consumer debt collection; class action</t>
  </si>
  <si>
    <t>Salt Springs Resort and its property management company allegedly posted a public list containing more than 100 condominium owners' names and the amounts they allegedly owed. Latheresa Williams brought a class action under the Florida Consumer Collection Practices Act. The trial court dismissed under older precedent holding HOA assessments were not consumer debt, but the Fifth District Court of Appeal sat en banc, receded from that precedent, held qualifying HOA assessments can constitute consumer debt, reversed the dismissal, and remanded the class complaint against both the association and Bosshardt.</t>
  </si>
  <si>
    <t>More than 100 owners allegedly identified publicly; dollar amounts individually displayed</t>
  </si>
  <si>
    <t>Owner/class appellate victory; dismissal reversed and collection-law claims revived; merits unresolved</t>
  </si>
  <si>
    <t>Williams v. Salt Springs Resort Association, Inc. &amp; Bosshardt Property Management, LLC</t>
  </si>
  <si>
    <t>Verified – owner/class won significant appellate ruling</t>
  </si>
  <si>
    <t>Direct court-opinion link. The appellate ruling addressed whether qualifying assessments are consumer debts and revived the complaint; it did not finally adjudicate whether the defendants violated the statute.</t>
  </si>
  <si>
    <t>Collections / Management Company / Public Delinquency List / Consumer Protection</t>
  </si>
  <si>
    <t>E447</t>
  </si>
  <si>
    <t>Homeowner defeating HOA restriction-enforcement claim after management-led enforcement</t>
  </si>
  <si>
    <t>The Landing Community Improvement Association; AVR Management Consultants, Inc.; prior Houston Community Management Services</t>
  </si>
  <si>
    <t>HOA / professional property management companies / HOA counsel</t>
  </si>
  <si>
    <t>Management-issued violation letters; assessment collection assistance; disputed payment application; threatened fines/legal fees; rule enforcement</t>
  </si>
  <si>
    <t>Over many years, the association's property managers and attorneys sent violation communications to Paul Young. AVR's property manager testified that AVR assisted with collection of assessments. Young alleged his assessment payments were misapplied and challenged threatened enforcement including a proposed $200-per-day fine. A jury found Young did not violate the deed restrictions and found the association's enforcement arbitrary and capricious. On appeal, although substantial tort/declaratory damages and Young's attorney-fee award were reversed, the court left intact the jury's finding that Young had not breached the deed restrictions and therefore the association did not obtain its requested restriction-enforcement relief.</t>
  </si>
  <si>
    <t>Association correspondence warned legal fees typically exceeded $5,000; proposed $200-per-day fine challenged</t>
  </si>
  <si>
    <t>Mixed but owner-favorable on core enforcement claim; jury found no deed-restriction breach; separate owner damages/fees reversed</t>
  </si>
  <si>
    <t>The Landing Community Improvement Association v. Young</t>
  </si>
  <si>
    <t>Verified – owner prevailed on HOA's underlying breach allegation; other awards reversed</t>
  </si>
  <si>
    <t>Direct court-opinion link. Do not code as a complete homeowner victory: the appellate court reversed Young's tort/declaratory damages and attorney fees. Management involvement is documented in violation letters and assessment collection assistance.</t>
  </si>
  <si>
    <t>Fines / Management Enforcement / Assessment Collection / Mixed Owner Relief</t>
  </si>
  <si>
    <t>E448</t>
  </si>
  <si>
    <t>Homeowners challenging management-linked daily fines</t>
  </si>
  <si>
    <t>The Oak Grove Farm Homeowners Association; association property manager</t>
  </si>
  <si>
    <t>HOA / property manager who also sat on two-person board</t>
  </si>
  <si>
    <t>Management-issued violation; property manager as board decision-maker; $100/day fines; $31,500 fine judgment</t>
  </si>
  <si>
    <t>The HOA's property manager sent the initial violation letter and served as one of only two board members at the violation hearing, after which the HOA imposed $100-per-day fines. The homeowners challenged the fines and initially won in the Court of Appeals, but the North Carolina Supreme Court reversed in August 2025, holding that evidence supported submitting the restrictive-covenant question to the jury and reinstating the jury result for the HOA.</t>
  </si>
  <si>
    <t>$31,500 fine judgment; homeowners ultimately did not prevail</t>
  </si>
  <si>
    <t>HOA ultimate victory; 2024 owner appellate win reversed by North Carolina Supreme Court in 2025</t>
  </si>
  <si>
    <t>Schroeder v. Oak Grove Farm Homeowners Association</t>
  </si>
  <si>
    <t>Verified – latest appellate outcome; HOA prevailed</t>
  </si>
  <si>
    <t>Direct court-opinion link. High-value management/fines mechanism despite owner loss: the property manager initiated notice and participated as one of two board decision-makers. Do not rely on the superseded 2024 Court of Appeals outcome.</t>
  </si>
  <si>
    <t>Fines / Property Manager / Board Role / Daily Penalties / Owner Loss / Mechanism</t>
  </si>
  <si>
    <t>E449</t>
  </si>
  <si>
    <t>Condominium owner obtaining revival of retaliatory-fine and fiduciary claims</t>
  </si>
  <si>
    <t>111 East Chestnut Condominium Association; Board of Managers; property manager</t>
  </si>
  <si>
    <t>Condominium association / board / property manager</t>
  </si>
  <si>
    <t>Management-delivered fine notice; retaliatory fine allegations; disciplinary hearing records; fiduciary-duty claims</t>
  </si>
  <si>
    <t>After disciplinary proceedings, the property manager informed Michael Boucher that the board had imposed two $250 fines. Boucher alleged the sanctions were retaliation for his criticism of condominium management and that the board withheld evidence and the recording/minutes of the disciplinary hearing. The Illinois Appellate Court held he adequately stated the retaliation claim and produced sufficient evidence to proceed on meeting-record and fiduciary-duty theories, reversing the trial court in nearly all relevant respects and remanding.</t>
  </si>
  <si>
    <t>$500 in fines paid by owner</t>
  </si>
  <si>
    <t>Owner partial appellate victory; fine-related statutory/fiduciary claims revived; merits unresolved</t>
  </si>
  <si>
    <t>Published Illinois appellate opinion</t>
  </si>
  <si>
    <t>Boucher v. 111 East Chestnut Condominium Association</t>
  </si>
  <si>
    <t>Verified – owner obtained substantial appellate reversal</t>
  </si>
  <si>
    <t>Direct court-opinion link. This was not a final adjudication that the fines were retaliatory; the appellate court held the claims could proceed.</t>
  </si>
  <si>
    <t>Fines / Management Criticism / Retaliation / Due Process / Owner Relief</t>
  </si>
  <si>
    <t>E450</t>
  </si>
  <si>
    <t>Property owner</t>
  </si>
  <si>
    <t>Commercial-lot owner defeating management-issued $100/day fine enforcement</t>
  </si>
  <si>
    <t>Travis Settlement Home-Owners Association; association property management company</t>
  </si>
  <si>
    <t>HOA / property management company</t>
  </si>
  <si>
    <t>Management-issued violation notice; retroactive $100/day fine; restrictive-covenant enforcement</t>
  </si>
  <si>
    <t>The association's property management company sent a notice warning 71 Warehouse that alleged dog-barking noise would result in $100-per-day fines retroactive to the date of the notice. The association later sued for covenant enforcement, statutory damages, and attorney fees. After a bench trial, the court entered a take-nothing judgment for 71 Warehouse, finding the association failed to prove breach and alternatively had waived the complained-of condition by previously granting a variance. The Texas Court of Appeals affirmed.</t>
  </si>
  <si>
    <t>$100 per day threatened/imposed; association recovered nothing</t>
  </si>
  <si>
    <t>Property-owner merits victory; HOA take-nothing judgment affirmed</t>
  </si>
  <si>
    <t>Travis Settlement Home-Owners Association v. 71 Warehouse, LLC</t>
  </si>
  <si>
    <t>Verified – property owner prevailed at trial and on appeal</t>
  </si>
  <si>
    <t>Direct court-opinion link. Plaintiff is a commercial lot owner rather than an individual homeowner; retained because the same HOA management/fine mechanism is documented.</t>
  </si>
  <si>
    <t>Fines / Management Company / Daily Penalties / Owner Win</t>
  </si>
  <si>
    <t>E451</t>
  </si>
  <si>
    <t>Townhome owners obtaining jury judgment against HOA and management company</t>
  </si>
  <si>
    <t>Lakeside Village Homeowners Association, Inc.; Principal Management Group of North Texas; Principal Management Group, Inc.</t>
  </si>
  <si>
    <t>Management of common areas; negligence; breach; assessment-funded maintenance system; direct management-company liability</t>
  </si>
  <si>
    <t>Two townhome owners sued Lakeside Village and its management company, Principal Management Group, over water intrusion and common-area drainage/retaining-wall failures. Principal had served as the HOA's managing agent since 2005. A jury found liability against the HOA and Principal and awarded repair, remediation, rental-loss, and other damages. On appeal, the court reversed only the mental-anguish awards and affirmed the remainder of the judgment.</t>
  </si>
  <si>
    <t>Belanger jury damages included $65,000 repairs, $3,200 AC repair, $6,900 mold remediation, $25,200 past lost rent and $12,600 future lost rent; Drennan received $37,000 repairs; mental-anguish amounts reversed</t>
  </si>
  <si>
    <t>Owner merits victory substantially affirmed against HOA and management company</t>
  </si>
  <si>
    <t>Lakeside Village HOA &amp; Principal Management Group v. Belanger and Drennan</t>
  </si>
  <si>
    <t>Verified – owners substantially prevailed; mental-anguish awards reversed</t>
  </si>
  <si>
    <t>Direct court-opinion link. This is broader management-liability evidence rather than a fines/collection case, but it is a rare documented owner jury win directly involving the professional management company.</t>
  </si>
  <si>
    <t>Management Company / Direct Liability / Common Areas / Owner Win</t>
  </si>
  <si>
    <t>E452</t>
  </si>
  <si>
    <t>Homeowner benefiting from major reduction of HOA collection attorney fees</t>
  </si>
  <si>
    <t>Sunset Cove Community Association, Inc.; Quality Community Management (QCM)</t>
  </si>
  <si>
    <t>HOA / professional property management company / HOA counsel</t>
  </si>
  <si>
    <t>Management billing and collection; assessments; late fees; collection litigation; excessive attorney-fee request</t>
  </si>
  <si>
    <t>Quality Community Management handled association billing and account administration. The HOA prevailed on a relatively small collection claim but sought $16,401 in attorney fees. The trial court characterized the requested fees as grossly excessive and awarded only $1,940. The HOA cross-appealed seeking the larger amount, but the Ohio Court of Appeals affirmed the reduced award.</t>
  </si>
  <si>
    <t>$3,383.68 total judgment including only $1,940 attorney fees; HOA had requested $16,401</t>
  </si>
  <si>
    <t>Mixed outcome; owner lost underlying collection claim but avoided most requested attorney fees</t>
  </si>
  <si>
    <t>Published Ohio appellate opinion</t>
  </si>
  <si>
    <t>Sunset Cove Community Association, Inc. v. Whetzel</t>
  </si>
  <si>
    <t>Verified – fee reduction affirmed; not an overall owner win</t>
  </si>
  <si>
    <t>Direct court-opinion link. Inclusion documents collection-cost escalation and judicial reduction; homeowner remained liable for underlying charges and the reduced fee.</t>
  </si>
  <si>
    <t>Collections / Management Company / Attorney Fees / Excessive Fee Reduction</t>
  </si>
  <si>
    <t>E453</t>
  </si>
  <si>
    <t>Homeowner obtaining partial reversal of HOA attorney-fee ruling in fine case</t>
  </si>
  <si>
    <t>St. Charles Homeowners Association, Inc.; individual board members</t>
  </si>
  <si>
    <t>HOA / board / HOA counsel</t>
  </si>
  <si>
    <t>Architectural fines; lien-capable monetary sanctions; attorney-fee shifting</t>
  </si>
  <si>
    <t>After homeowners installed an above-ground pool, the HOA imposed monthly $75 fines and obtained summary judgment upholding enforcement and attorney fees. The Georgia Court of Appeals upheld the HOA's authority to enforce the restriction and collect the fines, but reversed the trial court's separate determination that the HOA and board were entitled to attorney fees under Georgia's bad-faith litigation-expense statute at summary judgment because that statutory issue had to be decided by a jury.</t>
  </si>
  <si>
    <t>$75 monthly fines; statutory attorney-fee entitlement reversed at summary-judgment stage</t>
  </si>
  <si>
    <t>Mixed outcome; HOA won fine/enforcement merits, homeowner won partial attorney-fee reversal</t>
  </si>
  <si>
    <t>Salter v. St. Charles Homeowners Association, Inc.</t>
  </si>
  <si>
    <t>Verified – mixed; homeowner relief limited to statutory attorney-fee ruling</t>
  </si>
  <si>
    <t>Direct court-opinion link. Do not count as an owner win on the fines themselves; the appellate court expressly upheld the HOA's fine authority in this case.</t>
  </si>
  <si>
    <t>Fines / Attorney Fees / Mixed Outcome</t>
  </si>
  <si>
    <t>E454</t>
  </si>
  <si>
    <t>Homeowners obtaining revival of negligence claim and reversal of six-figure sanctions</t>
  </si>
  <si>
    <t>The Lakes Residential Association, Inc.; individual board members</t>
  </si>
  <si>
    <t>HOA / board members</t>
  </si>
  <si>
    <t>Violation notices; fines/statutory penalties; legal-fee charging; delinquent invoices; sanctions</t>
  </si>
  <si>
    <t>The HOA sued homeowners over alleged architectural violations and sought injunctive relief, fines, statutory penalties, and attorney fees. The homeowners counterclaimed and sued board members, alleging among other things erroneous violation notices, invalid delinquent invoices, improper accounting, and unwarranted legal-fee charges. The trial court dismissed the individual claims and imposed $184,607.60 in sanctions on the homeowners and counsel. In February 2026 the Texas Court of Appeals revived the negligence claim and reversed the entire sanctions award, remanding for further proceedings.</t>
  </si>
  <si>
    <t>$184,607.60 sanctions award reversed; HOA underlying fines/penalties case remained pending</t>
  </si>
  <si>
    <t>Owner partial appellate victory; negligence claim revived and sanctions reversed; merits unresolved</t>
  </si>
  <si>
    <t>Perry et al. v. Janson et al. / The Lakes Residential Association dispute</t>
  </si>
  <si>
    <t>Verified – significant procedural owner relief; underlying HOA dispute unresolved</t>
  </si>
  <si>
    <t>Direct court-opinion link. Board members, not a professional management company, were the appellees in this severed appeal. Included because the underlying HOA enforcement sought fines/statutory penalties and the appellate court removed a very large sanctions burden.</t>
  </si>
  <si>
    <t>Fines / Enforcement / Sanctions / Owner Relief / Pending</t>
  </si>
  <si>
    <t>E455</t>
  </si>
  <si>
    <t>Condominium owner obtaining reversal of foreclosure summary judgment</t>
  </si>
  <si>
    <t>Biltmore House Condominium Association, Inc.; association property manager</t>
  </si>
  <si>
    <t>Condominium association / property manager / HOA collection counsel</t>
  </si>
  <si>
    <t>Management ledger; payment allocation to attorney fees first; late fees and interest compounding; judicial foreclosure</t>
  </si>
  <si>
    <t>The association sought judicial foreclosure based on a property-manager ledger showing assessments, late fees, interest, and legal charges. The ledger reflected that the owner's payments were applied first to attorney fees. The association claimed $41,408.47 in delinquent assessments, $3,026.17 in late fees, $10,603.29 in interest, and more than $50,000 in legal fees and expenses. The Georgia Court of Appeals held factual disputes over the reasonableness of the attorney fees affected the accuracy of the entire balance because applying payments to potentially unreasonable fees could increase other charges in a recurring cycle. It reversed the association's partial summary judgment and foreclosure order.</t>
  </si>
  <si>
    <t>$41,408.47 assessments; $3,026.17 late fees; $10,603.29 interest; $50,824.07 attorney fees/expenses claimed</t>
  </si>
  <si>
    <t>Owner appellate victory; foreclosure and collection summary judgment reversed</t>
  </si>
  <si>
    <t>Ballard v. Biltmore House Condominium Association, Inc.</t>
  </si>
  <si>
    <t>Verified – homeowner prevailed on appeal; merits remained disputed</t>
  </si>
  <si>
    <t>Direct court-opinion link. Strong collection-mechanism record because the court expressly analyzed how attorney-fee-first payment allocation could compound late fees, interest, and further legal charges.</t>
  </si>
  <si>
    <t>Collections / Management Ledger / Payment Allocation / Attorney Fees / Foreclosure / Owner Relief</t>
  </si>
  <si>
    <t>E456</t>
  </si>
  <si>
    <t>Condominium owner obtaining reversal of disproportionate attorney-fee award</t>
  </si>
  <si>
    <t>Cross Roads Condominium Owners Association, Inc.; Corner Property Management</t>
  </si>
  <si>
    <t>Condominium association / professional property management company / HOA counsel</t>
  </si>
  <si>
    <t>Management ledger; fines; administrative charges; lien/collection work; attorney-fee escalation</t>
  </si>
  <si>
    <t>Corner Property Management managed the owner's account and its manager testified at trial. The association sued for $3,055.40, including maintenance fees, fines, administrative charges, and $1,659.90 in legal fees. By the end of the brief bench-trial process, counsel sought $13,447.73 in attorney fees within a $14,418.23 total. The trial court disallowed most administrative charges but awarded substantial legal fees. The New Jersey Appellate Division held the court failed to adequately account for the small amount at stake, the association's limited success, and unauthorized administrative charges, and reversed/remanded the counsel-fee award for reconsideration.</t>
  </si>
  <si>
    <t>Association complaint $3,055.40; legal fee demand grew to $13,447.73; substantive judgment only $870.50</t>
  </si>
  <si>
    <t>Owner partial appellate victory; attorney-fee award reversed/remanded for reasonableness</t>
  </si>
  <si>
    <t>Cross Roads Condominium Owners Association, Inc. v. Cosentino</t>
  </si>
  <si>
    <t>Verified – owner obtained fee-award reversal; underlying smaller charges largely affirmed</t>
  </si>
  <si>
    <t>Direct court-opinion link. Particularly relevant to fee escalation: legal fees approached ten times the amount of certain underlying charges after a short trial.</t>
  </si>
  <si>
    <t>Fines / Management Company / Administrative Fees / Attorney Fees / Owner Relief</t>
  </si>
  <si>
    <t>E457</t>
  </si>
  <si>
    <t>Property owner obtaining reversal after management-company approval was contradicted</t>
  </si>
  <si>
    <t>Ranches at Overhills Property Owners Association, Inc.; Empire South Realty</t>
  </si>
  <si>
    <t>POA / designated management company</t>
  </si>
  <si>
    <t>Management architectural approval; later enforcement reversal; application fee; attorney fees and injunction</t>
  </si>
  <si>
    <t>The owner submitted its build plan to Empire South Realty, the association's designated management company, paid a $300 application fee, and received written approval. After the structure was installed, the association demanded its removal and later obtained summary judgment. The Texas Court of Appeals held the prior written approval created fact issues on breach and estoppel, revived the owner's negligence counterclaim, and reversed the association's attorney-fee, litigation-cost, and injunctive relief tied to the summary judgment.</t>
  </si>
  <si>
    <t>$300 management review fee; association attorney fees/costs and injunction reversed pending remand</t>
  </si>
  <si>
    <t>Owner partial appellate victory; HOA enforcement judgment, fees, costs and injunction reversed/remanded</t>
  </si>
  <si>
    <t>Pryor Legacy Properties, LLC v. Ranches at Overhills Property Owners Association, Inc.</t>
  </si>
  <si>
    <t>Verified – owner obtained significant appellate reversal</t>
  </si>
  <si>
    <t>Direct court-opinion link. Plaintiff is an entity/property owner rather than an individual homeowner. Management's written approval is central to the estoppel/enforcement dispute.</t>
  </si>
  <si>
    <t>Management Company / Architectural Approval / Enforcement / Attorney Fees / Owner Relief</t>
  </si>
  <si>
    <t>E458</t>
  </si>
  <si>
    <t>Homeowner in foreclosure matter documenting extreme legal-fee escalation</t>
  </si>
  <si>
    <t>Sanctuary Bluff Homeowners Association, Inc.</t>
  </si>
  <si>
    <t>HOA / HOA counsel</t>
  </si>
  <si>
    <t>Assessment lien; repeated amended balances; unexplained attorney-fee escalation; foreclosure/judicial sale</t>
  </si>
  <si>
    <t>The HOA's first lien against Pamela Blair was $1,709 in 2020. By November 2022 the association claimed $18,098, including $4,879 in legal fees; a year later it claimed $30,340.60 including $9,937.25 legal fees. In July 2024 the claimed debt jumped to $70,991, including $51,709 in legal fees, an increase of more than $40,000 in legal fees in two months without an accounting in the appellate record. The trial court authorized foreclosure. The 2026 appellate opinion ultimately rejected Blair's preserved challenges to that judgment, while noting the extraordinary unexplained increase; later record materials showed both liens released in June 2025.</t>
  </si>
  <si>
    <t>First lien $1,709; claimed debt later $70,991 including $51,709 legal fees; homeowner reported later demand of $131,328, but appellate record did not establish that demand</t>
  </si>
  <si>
    <t>HOA prevailed on foreclosure appeal; strong documented fee-escalation mechanism, not owner win</t>
  </si>
  <si>
    <t>Published Kentucky appellate opinion</t>
  </si>
  <si>
    <t>Blair v. Sanctuary Bluff Homeowners Association, Inc.</t>
  </si>
  <si>
    <t>Verified – latest appellate outcome unfavorable to homeowner; fee escalation documented</t>
  </si>
  <si>
    <t>Direct court-opinion link. Do not treat the later homeowner-reported $131,328 demand as adjudicated fact. Inclusion is for the documented progression from a $1,709 lien to a $70,991 judgment balance with $51,709 in legal fees and no legal-fee accounting in the appellate record.</t>
  </si>
  <si>
    <t>Collections / Foreclosure / Attorney Fees / Fee Escalation / Owner Loss / Mechanism</t>
  </si>
  <si>
    <t>E459</t>
  </si>
  <si>
    <t>Homeowner prevailing on delinquency-policy and audit claims</t>
  </si>
  <si>
    <t>Deer Path Homeowners Association, Inc.; Kirkpatrick Management Company</t>
  </si>
  <si>
    <t>Delinquency policy changes; management representations to owners; notices; penalties; pre-legal demand requirement; audits</t>
  </si>
  <si>
    <t>The HOA changed its delinquency policy in 2019 by changing assessment due-date authority, eliminating timelines for delinquency notices, changing nonpayment penalties, and eliminating the requirement for a demand letter before legal action. Before owners voted to ratify prior acts, a Kirkpatrick Management representative told them there were no changes to the delinquency policy. The Indiana Court of Appeals held that statement was incorrect and that owners lacked the knowledge of material facts necessary to ratify the policy. It affirmed partial summary judgment for homeowner Andrew Taylor on the delinquency-policy issue and also affirmed his win on the HOA's failure to conduct required annual audits.</t>
  </si>
  <si>
    <t>Monetary amount not stated; policy controlled penalties and pre-legal collection procedures</t>
  </si>
  <si>
    <t>Owner partial merits victory; invalid ratification of delinquency policy and audit breach affirmed</t>
  </si>
  <si>
    <t>Indiana Court of Appeals memorandum decision</t>
  </si>
  <si>
    <t>Taylor v. Deer Path Homeowners Association, Inc.</t>
  </si>
  <si>
    <t>Verified – homeowner prevailed on specified claims</t>
  </si>
  <si>
    <t>Direct court-opinion link. Strong management/collection-governance record because the management company's inaccurate representation preceded the homeowner vote on a policy that reduced collection notice protections.</t>
  </si>
  <si>
    <t>Collections / Management Company / Delinquency Policy / Governance / Owner Win</t>
  </si>
  <si>
    <t>E460</t>
  </si>
  <si>
    <t>Condominium owner obtaining settlement from HOA/management defendants and appellate contract relief</t>
  </si>
  <si>
    <t>Condominium Owners' Association; association president; management company; neighboring unit owners</t>
  </si>
  <si>
    <t>Condominium association / professional management company / neighboring owners</t>
  </si>
  <si>
    <t>Management/association response to property damage; settlement; owner damages; attorney fees</t>
  </si>
  <si>
    <t>After repeated water and sewage incursions damaged her condominium, Autumn Allan sued neighboring owners, the condominium association, its president, and its management company. Before trial, the association, president, management company, and other settling defendants paid Allan $10,750. The case continued against neighboring owners; a jury awarded additional damages, and the Texas appellate court later reinstated Allan's breach-of-contract claim and related attorney-fee claim against the remaining defendants.</t>
  </si>
  <si>
    <t>$10,750 pretrial settlement from HOA/management-side defendants; jury found $12,885.51 in additional damages before offsets</t>
  </si>
  <si>
    <t>Owner obtained settlement involving management company; separate appellate contract victory against remaining defendants</t>
  </si>
  <si>
    <t>Allan v. Neresova and Koraev</t>
  </si>
  <si>
    <t>Verified – management-company settlement documented; no admission of liability</t>
  </si>
  <si>
    <t>Direct court-opinion link. The published opinion does not allocate the $10,750 settlement among the HOA, president, management company, or other settling defendants, so do not attribute a specific dollar amount or admission to management alone.</t>
  </si>
  <si>
    <t>Management Company / Settlement / Property Damage / Owner Relief</t>
  </si>
  <si>
    <t>E461</t>
  </si>
  <si>
    <t>Homeowner obtaining damages against HOA while management company avoided direct contract liability</t>
  </si>
  <si>
    <t>Mustang Park Owners Association, Inc.; Legacy Southwest Property Management, LLC</t>
  </si>
  <si>
    <t>Management agent role; common-area drainage; owner damages; attorney fees</t>
  </si>
  <si>
    <t>Legacy Southwest served as Mustang Park's property manager, and defendants acknowledged at trial that management acted as the HOA's agent and that its acts or omissions were at the association's direction. Homeowner Christopher Lumley obtained judgment over drainage/common-area maintenance. On appeal, the court held Legacy was not independently liable under the declaration because it was the disclosed agent rather than a party to the declaration, but it preserved a reduced damages basis against the HOA and remanded/recalculated attorney-fee issues.</t>
  </si>
  <si>
    <t>Trial damages $18,950; appellate court found evidence supporting $12,950 and suggested $6,000 remittitur; trial attorney fees had been $75,006.67 before recalculation</t>
  </si>
  <si>
    <t>Mixed owner victory against HOA; management company escaped direct contract liability as agent</t>
  </si>
  <si>
    <t>Mustang Park Owners Association, Inc. &amp; Legacy Southwest Property Management, LLC v. Lumley</t>
  </si>
  <si>
    <t>Verified – mixed; management agency relationship documented</t>
  </si>
  <si>
    <t>Direct court-opinion link. Valuable for the structural issue: management performed work as HOA agent, but the court rejected direct declaration-based liability against management. Do not code as an owner win against Legacy itself.</t>
  </si>
  <si>
    <t>Management Company / Agent Structure / Common Areas / Owner Relief</t>
  </si>
  <si>
    <t>E462</t>
  </si>
  <si>
    <t>Condominium owner obtaining removal of property-manager legal fees from HOA award</t>
  </si>
  <si>
    <t>Olentangy Condominium Association; Sterling Realty Associates, LLC</t>
  </si>
  <si>
    <t>Assessment collection; foreclosure; management indemnity; property-manager attorney fees charged through HOA judgment</t>
  </si>
  <si>
    <t>Sterling Realty Associates was the condominium property manager. The HOA sued owner Jeffrey Lusk for unpaid assessments, late fees and foreclosure and obtained a $2,266 damages judgment plus $23,153.85 in attorney fees. The fee award included $5,966.99 in Sterling's own attorney fees, which the HOA had agreed to indemnify under the management agreement after Lusk sued Sterling. The Ohio Court of Appeals held the condominium statute authorized reasonable HOA attorney fees, not indemnity payments for the property manager's separate legal expenses, and reversed that portion of the award.</t>
  </si>
  <si>
    <t>$23,153.85 HOA attorney-fee award included $5,966.99 in property-manager legal fees; manager-fee portion reversed</t>
  </si>
  <si>
    <t>Owner partial appellate victory; property-manager attorney fees removed from HOA fee award; underlying assessment/foreclosure judgment largely affirmed</t>
  </si>
  <si>
    <t>Olentangy Condominium Association v. Lusk</t>
  </si>
  <si>
    <t>Verified – owner prevailed on manager-fee issue</t>
  </si>
  <si>
    <t>Direct court-opinion link. Owner did not defeat the underlying assessment or foreclosure judgment. Inclusion is specifically for the court's rejection of passing the management company's separate $5,966.99 legal expense through the HOA's statutory attorney-fee award.</t>
  </si>
  <si>
    <t>Collections / Management Company / Attorney Fees / Indemnity / Owner Relief</t>
  </si>
  <si>
    <t>E463</t>
  </si>
  <si>
    <t>Condominium purchaser challenging management-led special-assessment collection</t>
  </si>
  <si>
    <t>Granville Tower Condominium Association; property manager Marla Stiefel</t>
  </si>
  <si>
    <t>Condominium association / professional property manager / HOA counsel</t>
  </si>
  <si>
    <t>Management collection letter; prior-owner debt; special assessment; paid-assessment letter; transfer fee; referral to counsel</t>
  </si>
  <si>
    <t>After Hilda Escobar purchased a condominium at foreclosure, the association's property manager sent a letter claiming $36,808.55 was due, including $12,444.44 labeled as prior-owner debt and more than $23,000 in special assessment charges. A later paid-assessment letter listed $34,164.49 due at closing, including a $65 transfer fee to the management company. Trial testimony documented that the property manager assigned delinquent accounts to legal counsel and advised the board on collection actions. Escobar challenged the amounts and the collection structure, but the Illinois Appellate Court affirmed judgment for the association.</t>
  </si>
  <si>
    <t>Initial management letter $36,808.55; later closing demand $34,164.49; $65 management transfer fee</t>
  </si>
  <si>
    <t>HOA prevailed; high-value management-to-counsel collection mechanism documented</t>
  </si>
  <si>
    <t>Granville Tower Condominium Association v. Escobar</t>
  </si>
  <si>
    <t>Verified – HOA prevailed; mechanism documented</t>
  </si>
  <si>
    <t>Direct court-opinion link. Do not count as an owner win. Included because the opinion directly documents the property manager's balance letters, transfer fee, delinquency referral to legal counsel, and advisory role in collection decisions.</t>
  </si>
  <si>
    <t>Collections / Management Company / Special Assessment / Attorney Referral / Transfer Fee / Mechanism</t>
  </si>
  <si>
    <t>E464</t>
  </si>
  <si>
    <t>Homeowner challenging management-linked fine and legal-cost assessment</t>
  </si>
  <si>
    <t>The Cottages on 78th Community Association; PMI of Utah; Michelle Pohlman</t>
  </si>
  <si>
    <t>HOA / professional property management company / property manager / HOA counsel</t>
  </si>
  <si>
    <t>Management participation in enforcement; fines; legal-cost assessment; special assessment; owner complaints</t>
  </si>
  <si>
    <t>PMI of Utah was the HOA's property manager and Michelle Pohlman helped manage the community. Pohlman participated in board discussions about enforcement against homeowner Wendi Hatfield. The HOA later fined and assessed Hatfield $2,231.25 for alleged rule violations and legal costs, and separately charged all owners $131.72 each through a special assessment for unbudgeted legal expenses tied to the dispute. Hatfield sued the HOA, PMI and others, but the Tenth Circuit affirmed dismissal of her federal claims while also affirming dismissal of the HOA defendants' wrongful-use/abuse-of-process counterclaim.</t>
  </si>
  <si>
    <t>$2,231.25 fine/legal-cost assessment against owner; $131.72 special assessment charged to each HOA member for dispute-related legal costs</t>
  </si>
  <si>
    <t>Mixed litigation result; homeowner claims dismissed, HOA counterclaim also dismissed; management/fine/legal-cost mechanism documented</t>
  </si>
  <si>
    <t>Federal appellate opinion</t>
  </si>
  <si>
    <t>Hatfield v. Cottages on 78th Community et al.</t>
  </si>
  <si>
    <t>Verified – mixed outcome; not an owner merits win</t>
  </si>
  <si>
    <t>Direct appellate-opinion link. Inclusion documents PMI's participation in enforcement discussions and the coupling of fines with legal-cost and community special assessments; it does not establish unlawful conduct by PMI or the HOA.</t>
  </si>
  <si>
    <t>Fines / Management Company / Legal Costs / Special Assessment / Mixed Outcome</t>
  </si>
  <si>
    <t>E465</t>
  </si>
  <si>
    <t>Homeowner obtaining damages against HOA in assessment-enforcement litigation</t>
  </si>
  <si>
    <t>Port Louis Owners Association, Inc.; association property managers</t>
  </si>
  <si>
    <t>HOA / property managers / HOA counsel</t>
  </si>
  <si>
    <t>Assessment/open-account collection; management knowledge of maintenance failures; owner counterclaim; attorney fees</t>
  </si>
  <si>
    <t>The association sued Joseph Caronna to enforce unpaid assessments and obtained recovery on its open-account claim. Caronna counterclaimed that the association failed to maintain the building exterior. Property managers testified about the association's maintenance responsibilities and board instructions limiting work. The Louisiana Court of Appeal affirmed the HOA's assessment recovery but reversed dismissal of Caronna's damage claim and rendered $26,630.83 plus legal interest in his favor.</t>
  </si>
  <si>
    <t>HOA awarded $29,674 plus 18% annual interest and $5,921.07 attorney fees; owner separately awarded $26,630.83 plus interest</t>
  </si>
  <si>
    <t>Mixed merits result; HOA won assessment collection, homeowner won $26,630.83 damages counterclaim</t>
  </si>
  <si>
    <t>Published Louisiana appellate opinion</t>
  </si>
  <si>
    <t>Port Louis Owners Association, Inc. v. Caronna</t>
  </si>
  <si>
    <t>Verified – mixed; owner obtained substantial affirmative damages</t>
  </si>
  <si>
    <t>Direct court-opinion link. This is not a collection-fee abuse finding; it is useful because an owner obtained affirmative damages in the same litigation where the HOA successfully pursued assessments.</t>
  </si>
  <si>
    <t>Collections / Assessments / Management Evidence / Owner Damages / Mixed Outcome</t>
  </si>
  <si>
    <t>E466</t>
  </si>
  <si>
    <t>Condominium owners defeating association foreclosure/damages case after management accounting dispute</t>
  </si>
  <si>
    <t>Woodside Meadows Condominium Association; Kramer-Triad Group; F &amp; D Property Management Company</t>
  </si>
  <si>
    <t>Condominium association / former and successor professional management companies</t>
  </si>
  <si>
    <t>Management-accounting transition; late fees; payment allocation; arrearage dispute; foreclosure; attorney fees</t>
  </si>
  <si>
    <t>Kramer-Triad managed the condominium before 2020 and charged $25 late fees after a grace period; F &amp; D Property Management replaced it in 2020. The association later sued Lee and Alice Parker for foreclosure and monetary damages based on a claimed long-running arrearage and payment allocation to earlier shortfalls and fees. After a bench trial, the court entered a verdict of no cause of action for the owners and found they were not liable for the asserted arrearage, meaning the association's contractual right to collect related pretrial attorney fees was not triggered. The Michigan Court of Appeals affirmed that substantive result, reversing only an order requiring counsel personally to refund $6,265.</t>
  </si>
  <si>
    <t>$25 recurring late fees; $6,265 legal-fee payment refund order reversed as to counsel personally; owners otherwise defeated foreclosure/damages claim</t>
  </si>
  <si>
    <t>Owner merits victory on foreclosure/arrearage case; no-cause judgment affirmed</t>
  </si>
  <si>
    <t>Michigan Court of Appeals unpublished opinion</t>
  </si>
  <si>
    <t>Woodside Meadows Condominium Association v. Parker</t>
  </si>
  <si>
    <t>Verified – owners prevailed on association's core claim</t>
  </si>
  <si>
    <t>Direct court-opinion link. Kramer-Triad also appears elsewhere in the workbook in a different association/case; this is a separate matter and not a duplicate. Appellate court reversed only the direction that HOA counsel personally refund $6,265; no-cause judgment for owners remained intact.</t>
  </si>
  <si>
    <t>Collections / Management Company / Late Fees / Accounting / Foreclosure / Owner Win</t>
  </si>
  <si>
    <t>E467</t>
  </si>
  <si>
    <t>Homeowners defeating weekly fines and most individualized HUD-defense fee shifting</t>
  </si>
  <si>
    <t>Whitney Woods Homeowners' Association, Inc.; property manager Cindy Dawson</t>
  </si>
  <si>
    <t>HOA / professional property manager / HOA counsel</t>
  </si>
  <si>
    <t>Management-led violation enforcement; weekly fines; hearing defect; legal-cost special assessment; attempted individualized attorney-fee shifting</t>
  </si>
  <si>
    <t>The association's property manager provided enforcement evidence and stated informal efforts preceded fines and litigation. The trial court held weekly fines were not chargeable because the owners were not given an opportunity to be heard. It also allowed only the owners' proportionate $500 community special assessment toward HUD-defense costs, rejecting the HOA's attempt to assess the rest of those defense fees directly against their lot. In 2025 the Ohio Court of Appeals affirmed, including rejection of the HOA's cross-appeal seeking broader fee shifting.</t>
  </si>
  <si>
    <t>Weekly fine amount not stated; $500 proportional special assessment allowed; broader individualized HUD-defense fees rejected; separate $10,694 enforcement attorney-fee award remained</t>
  </si>
  <si>
    <t>Mixed but owner-favorable on fines and fee shifting; weekly fines invalid and broader HUD-defense fees barred</t>
  </si>
  <si>
    <t>Whitney Woods Homeowners' Association, Inc. v. Steagall</t>
  </si>
  <si>
    <t>Verified – owners prevailed on fine due-process and fee-shifting issues</t>
  </si>
  <si>
    <t>Direct court-opinion link. Owners lost several underlying covenant-enforcement issues and remained liable for a separate stipulated attorney-fee award, so this is not a complete owner win.</t>
  </si>
  <si>
    <t>Fines / Management Company / Hearing Rights / Attorney Fees / Special Assessment / Owner Relief</t>
  </si>
  <si>
    <t>E468</t>
  </si>
  <si>
    <t>Homeowner challenging property-management ledger before nonjudicial HOA foreclosure</t>
  </si>
  <si>
    <t>Timber Lakes Property Owners Association; association property management company; HOA counsel</t>
  </si>
  <si>
    <t>HOA / professional property management company / collection counsel</t>
  </si>
  <si>
    <t>Management ledger; disputed missing payment; nonjudicial foreclosure; management-to-counsel coordination; postponement request</t>
  </si>
  <si>
    <t>Timber Lakes' records showed more than $5,000 in assessments, late fees and interest and did not reflect a $1,839 cash payment owner David Kelly said he had made. After a notice of trustee's sale, Kelly contacted the property management company and disputed the balance. The management agent said she would ask HOA counsel to postpone the sale so the board could consider the matter; counsel later set a firm deadline for proof/payment. The property was sold the next day after the board declined further delay. Kelly sued to set aside the sale, but the Utah Court of Appeals ultimately affirmed the judgment against him and awarded the HOA limited appellate fees.</t>
  </si>
  <si>
    <t>More than $5,000 claimed delinquency; disputed $1,839 payment; property sold at trustee sale</t>
  </si>
  <si>
    <t>HOA prevailed; strong management-ledger/foreclosure coordination mechanism, not owner win</t>
  </si>
  <si>
    <t>Published Utah appellate opinion</t>
  </si>
  <si>
    <t>Kelly v. Timber Lakes Property Owners Association</t>
  </si>
  <si>
    <t>Direct court-opinion link. Inclusion documents the management company's disputed ledger and direct coordination with counsel during a pending foreclosure; it does not establish that the ledger was wrong or the foreclosure unlawful.</t>
  </si>
  <si>
    <t>Collections / Management Company / Ledger Dispute / Nonjudicial Foreclosure / Mechanism</t>
  </si>
  <si>
    <t>E469</t>
  </si>
  <si>
    <t>Homeowner retaining substantial fee award while HOA fee request denied</t>
  </si>
  <si>
    <t>The Stotesbury Community Association, Inc.; property management company</t>
  </si>
  <si>
    <t>Common-area dispute; management communications; prevailing-party attorney fees; competing fee demands</t>
  </si>
  <si>
    <t>Homeowner K.D. Morgan prevailed on one significant claim in a multi-count dispute with the association. The trial court awarded Morgan $50,000 in attorney fees while denying the association's competing request for approximately $81,860.80 in fees. The Pennsylvania Commonwealth Court affirmed the fee disposition, leaving the homeowner's $50,000 award intact and the HOA's fee request denied.</t>
  </si>
  <si>
    <t>Owner awarded $50,000 attorney fees; HOA request of about $81,860.80 denied</t>
  </si>
  <si>
    <t>Owner partial victory; $50,000 fee award affirmed and HOA fee request denied</t>
  </si>
  <si>
    <t>Published Pennsylvania appellate opinion</t>
  </si>
  <si>
    <t>K.D. Morgan v. The Stotesbury Community Association, Inc.</t>
  </si>
  <si>
    <t>Verified – owner retained fee award and defeated HOA fee request</t>
  </si>
  <si>
    <t>Direct court-opinion link. Broader common-area/governance dispute rather than a pure collection/fine case; included for meaningful owner relief and fee shifting. Do not imply homeowner prevailed on every count.</t>
  </si>
  <si>
    <t>Attorney Fees / Management Chain / Owner Relief</t>
  </si>
  <si>
    <t>E470</t>
  </si>
  <si>
    <t>Property owner defeating six-figure HOA attorney-fee award</t>
  </si>
  <si>
    <t>Alta Del Mar Coastal Collection Community Association</t>
  </si>
  <si>
    <t>Open-meeting enforcement litigation; prevailing-party attorney fees; six-figure fee award</t>
  </si>
  <si>
    <t>After the association prevailed on the underlying Open Meeting Act claims, the trial court awarded it $348,306 in attorney fees plus costs against property owner LNSU #1, LLC. The California Court of Appeal held the association was not entitled to recover those fees under the Davis-Stirling Act provisions at issue, reversed the attorney-fee order in full, denied the association its costs, and directed correction of the judgment.</t>
  </si>
  <si>
    <t>$348,306 HOA attorney-fee award reversed in full; HOA costs also denied</t>
  </si>
  <si>
    <t>Owner appellate victory on fees/costs; underlying HOA merits victory remained</t>
  </si>
  <si>
    <t>Published California appellate opinion</t>
  </si>
  <si>
    <t>LNSU #1, LLC v. Alta Del Mar Coastal Collection Community Association</t>
  </si>
  <si>
    <t>Verified – owner defeated six-figure fee award</t>
  </si>
  <si>
    <t>Direct court-opinion link. Plaintiff is a property-owning LLC. The association remained the prevailing party on the underlying Open Meeting Act merits; code the owner's victory only as to fees and costs.</t>
  </si>
  <si>
    <t>Attorney Fees / Governance / Owner Relief</t>
  </si>
  <si>
    <t>E471</t>
  </si>
  <si>
    <t>Condominium owners obtaining settlement involving property manager and appellate contract relief</t>
  </si>
  <si>
    <t>Walnut Gardens Condominium Association; property management company</t>
  </si>
  <si>
    <t>Management failure allegations; common-area maintenance; owner settlement; breach-of-contract claim</t>
  </si>
  <si>
    <t>Owners sued their condominium association and its property manager over alleged long-running failures to address water intrusion and maintenance. Before trial, the owners settled with the property manager. The appellate record included testimony from the manager acknowledging serious maintenance problems. The California Court of Appeal later reversed nonsuit on the owners' breach-of-contract claim against the association and remanded for further proceedings.</t>
  </si>
  <si>
    <t>Property-manager settlement amount not disclosed</t>
  </si>
  <si>
    <t>Owner settlement with management company; separate appellate victory reviving contract claim against HOA</t>
  </si>
  <si>
    <t>Sands v. Walnut Gardens Condominium Association</t>
  </si>
  <si>
    <t>Verified – management settlement documented; amount/terms not stated</t>
  </si>
  <si>
    <t>Direct court-opinion link. Do not characterize the property-manager settlement as an admission of liability or assign an amount not in the record.</t>
  </si>
  <si>
    <t>Management Company / Settlement / Maintenance / Owner Relief</t>
  </si>
  <si>
    <t>E472</t>
  </si>
  <si>
    <t>Homeowners challenging management-to-counsel enforcement fee pipeline</t>
  </si>
  <si>
    <t>Park Place of East Bradford Community Association; PENCO Management, Inc.; HOA counsel</t>
  </si>
  <si>
    <t>Management violation notices; rescinded fine; hearing request; attorney referral; legal fees assessed without formal lawsuit; lien</t>
  </si>
  <si>
    <t>PENCO Management sent parking-violation notices to the owners. An initial fine was rescinded because the association had not followed its enforcement procedures. The owners requested a hearing, which did not occur. After the owners indicated they would consult counsel, the board hired association counsel and later assessed the resulting legal invoices to the owners' account even though no formal enforcement lawsuit had yet been filed. The association ultimately prevailed in enforcing the legal-fee assessment and lien.</t>
  </si>
  <si>
    <t>Legal invoices included $465.45, $646.25 and $68.75; owners ultimately liable</t>
  </si>
  <si>
    <t>HOA ultimate victory; strong management-to-attorney fee mechanism documented</t>
  </si>
  <si>
    <t>J. Fini &amp; T. Fini v. Park Place of East Bradford Community Association</t>
  </si>
  <si>
    <t>Direct court-opinion link. Inclusion does not establish the legal-fee assessment or management conduct was improper; it documents how management enforcement, an unheld hearing, attorney engagement, owner-account legal fees, and lien enforcement connected.</t>
  </si>
  <si>
    <t>Fines / Management Company / Attorney Referral / Legal Fees / Lien / Mechanism</t>
  </si>
  <si>
    <t>E473</t>
  </si>
  <si>
    <t>Condominium owners reaching owner-favorable global settlement in foreclosure dispute</t>
  </si>
  <si>
    <t>Association of Apartment Owners of Crosspointe; Porter Kiakona Kopper LLP; association agents</t>
  </si>
  <si>
    <t>Condominium association / HOA foreclosure counsel / association agents</t>
  </si>
  <si>
    <t>Small underlying delinquency; processing charges; attorney-fee escalation; foreclosure; disputed payment crediting; settlement</t>
  </si>
  <si>
    <t>The association filed a state foreclosure action over maintenance fees and dues that its own pleadings placed below $500. The claimed balance added about $400 in delinquent-processing and late charges and $7,682.92 in attorney fees and costs. The owners counterclaimed, alleging among other things wrongful foreclosure and that timely payments had not been credited. The parties entered a court-enforced global settlement under which the association, through its insurer, was to pay the owners $25,000 in general damages; the owners were to pay $7,500 to the association; and the association would clear the lien. A later federal attempt by the owners to undo the settlement was dismissed.</t>
  </si>
  <si>
    <t>Underlying alleged dues under $500; + about $400 processing/late charges; + $7,682.92 legal fees; settlement required $25,000 payment to owners and $7,500 payment to HOA</t>
  </si>
  <si>
    <t>Owner-favorable settlement with net monetary relief and lien release; later federal challenge dismissed</t>
  </si>
  <si>
    <t>Federal district court opinion documenting and enforcing prior state-court settlement</t>
  </si>
  <si>
    <t>Sherrell et al. v. Association of Apartment Owners of Crosspointe et al.</t>
  </si>
  <si>
    <t>Verified – settlement terms documented by federal court; no admission of wrongdoing</t>
  </si>
  <si>
    <t>Direct court-opinion link. Settlement resolved disputed claims without liability findings. The later federal lawsuit was dismissed because the earlier settlement was binding; do not characterize allegations about uncredited payments as adjudicated facts.</t>
  </si>
  <si>
    <t>Collections / Foreclosure / Attorney Fees / Fee Escalation / Settlement / Owner Relief</t>
  </si>
  <si>
    <t>E474</t>
  </si>
  <si>
    <t>Condominium owners obtaining reversal of management-led collection judgment</t>
  </si>
  <si>
    <t>Chastain Park Condominium Association, Inc.; association property management company</t>
  </si>
  <si>
    <t>Management ledger; unexplained balance forward; payment allocation; late fees; attorney-fee escalation; collection suit</t>
  </si>
  <si>
    <t>The association sued the Hayeks for unpaid assessments and relied on the property manager's account ledger. The ledger began with an unexplained $9,599.03 balance forward, and the record did not show how owner payments were allocated. The HOA's claim grew to more than $20,000 including assessments, late fees, interest and attorney fees. The Georgia Court of Appeals held the damages evidence was insufficiently certain, reversed summary judgment on the account balance, and also reversed the attorney-fee award.</t>
  </si>
  <si>
    <t>Ledger included unexplained $9,599.03 balance forward; HOA sought about $20,950.52; counsel reported $15,007.50 fees plus expenses/costs</t>
  </si>
  <si>
    <t>Owner appellate victory; assessment/charge judgment and attorney-fee award reversed</t>
  </si>
  <si>
    <t>Hayek v. Chastain Park Condominium Association, Inc.</t>
  </si>
  <si>
    <t>Verified – owners prevailed on appeal; merits/accounting remained for further proceedings</t>
  </si>
  <si>
    <t>Direct court-opinion link. Strong management-ledger and payment-allocation record. The court did not find intentional falsification; it found the proof too uncertain to support summary judgment.</t>
  </si>
  <si>
    <t>Collections / Management Ledger / Payment Allocation / Attorney Fees / Owner Relief</t>
  </si>
  <si>
    <t>E475</t>
  </si>
  <si>
    <t>Condominium owner obtaining reversal of additional HOA attorney-fee award</t>
  </si>
  <si>
    <t>Chimneyhill Condominium Association</t>
  </si>
  <si>
    <t>Condominium association / HOA counsel</t>
  </si>
  <si>
    <t>Assessment collection; late charges; attorney-fee escalation; foreclosure request; post-judgment fees</t>
  </si>
  <si>
    <t>The association obtained a $10,218.25 general-sessions judgment for delinquent dues, late charges and assessments. In later circuit-court proceedings it sought additional relief including foreclosure and claimed $28,618 in attorney fees incurred through May 2019. The trial court awarded additional attorney fees, but the Tennessee Court of Appeals reversed that attorney-fee award while affirming discretionary costs.</t>
  </si>
  <si>
    <t>$10,218.25 underlying collection judgment; HOA counsel claimed $28,618 in fees through May 2019; additional fee award reversed</t>
  </si>
  <si>
    <t>Owner partial appellate victory; additional attorney-fee award reversed; underlying collection judgment remained</t>
  </si>
  <si>
    <t>Chimneyhill Condominium Association v. Chow</t>
  </si>
  <si>
    <t>Verified – owner prevailed on additional attorney-fee issue</t>
  </si>
  <si>
    <t>Direct court-opinion link. Not a complete owner win because the original delinquency judgment remained in place.</t>
  </si>
  <si>
    <t>Collections / Late Fees / Attorney Fees / Foreclosure / Owner Relief</t>
  </si>
  <si>
    <t>E476</t>
  </si>
  <si>
    <t>Homeowner challenging Associa-managed assessment and collection charges</t>
  </si>
  <si>
    <t>Cheswick Homeowners' Association, Inc.; Associa Community Association Services of Indiana</t>
  </si>
  <si>
    <t>Management notice of assessment increase; management delinquency collection; late fee; collection fee; legal fee; inaccurate notice language</t>
  </si>
  <si>
    <t>Associa was responsible for assessment notices and delinquent-assessment collection for Cheswick. It sent a notice stating an annual increase was under a supposed 10% covenant threshold, language the appellate court noted was apparently erroneous because the covenants contained no such provision. After the owner withheld a $35 special assessment and part of annual assessments, the account included a $42 late fee, $95 collection fee, and $3.38 legal fee. The association sued and obtained judgment for the balance plus attorney fees; the appellate court affirmed.</t>
  </si>
  <si>
    <t>$673.38 collection balance included $42 late fee, $95 collection fee and $3.38 legal fee; plus $700 attorney-fee judgment</t>
  </si>
  <si>
    <t>HOA prevailed; direct Associa assessment-notice and collection mechanism documented</t>
  </si>
  <si>
    <t>Talley v. Cheswick Homeowners' Association, Inc.</t>
  </si>
  <si>
    <t>Verified – HOA prevailed; management mechanism documented</t>
  </si>
  <si>
    <t>Direct court-opinion link. Inclusion does not establish Associa's collection fees were improper. The opinion itself notes Associa's notice contained apparently erroneous language about a 10% threshold.</t>
  </si>
  <si>
    <t>Collections / Management Company / Associa / Late Fee / Collection Fee / Mechanism</t>
  </si>
  <si>
    <t>E477</t>
  </si>
  <si>
    <t>Commercial condominium owner challenging management-calculated assessments and foreclosure</t>
  </si>
  <si>
    <t>Nebraska</t>
  </si>
  <si>
    <t>Twin Towers Condominium Association, Inc.; association property management company</t>
  </si>
  <si>
    <t>Management collection and recordkeeping; erroneous assessment methodology; recalculation; liens; foreclosure</t>
  </si>
  <si>
    <t>The association hired a property management company whose responsibilities included collecting assessments and keeping owner-payment records. The manager later discovered that assessments had been calculated using square footage even though the master deed required proportional ownership shares, and the company retroactively recalculated the accounts. The association had already recorded liens and pursued foreclosure. The Nebraska Supreme Court held the original miscalculation did not invalidate the lien and ultimately gave the association additional relief, including attorney fees.</t>
  </si>
  <si>
    <t>Amounts varied after retroactive recalculation; two liens and foreclosure action documented</t>
  </si>
  <si>
    <t>HOA ultimate victory; management-discovered assessment-calculation error and foreclosure mechanism documented</t>
  </si>
  <si>
    <t>Nebraska Supreme Court opinion</t>
  </si>
  <si>
    <t>Twin Towers Condominium Association, Inc. v. Bel Fury Investments Group, LLC</t>
  </si>
  <si>
    <t>Verified – HOA prevailed overall; calculation error documented</t>
  </si>
  <si>
    <t>Direct court-opinion link. Plaintiff/owner is a commercial-property LLC. Inclusion documents a management-company assessment-calculation error corrected during foreclosure litigation, not a finding of fraud or intentional overbilling.</t>
  </si>
  <si>
    <t>Collections / Management Company / Assessment Calculation / Liens / Foreclosure / Mechanism</t>
  </si>
  <si>
    <t>E478</t>
  </si>
  <si>
    <t>Condominium owner challenging large attorney-fee multiple in collection case</t>
  </si>
  <si>
    <t>Seville Condominium Association, Inc.</t>
  </si>
  <si>
    <t>Special assessment collection; late fees; attorney-fee multiplication; lien-capable debt</t>
  </si>
  <si>
    <t>The association pursued a condominium owner for her share of a common assessment and obtained $2,109 in underlying charges, including late fees. It then sought and received $10,394.69 in attorney fees. The owner's bylaws argument relied on a provision describing a 20% counsel-fee addition when collection involved counsel or a lien, but the courts held that provision did not cap otherwise reasonable statutory/contractual attorney fees. The appellate court affirmed the full fee award.</t>
  </si>
  <si>
    <t>$2,109 underlying award; $10,394.69 attorney-fee award</t>
  </si>
  <si>
    <t>HOA prevailed; strong attorney-fee multiplication mechanism documented</t>
  </si>
  <si>
    <t>New Jersey Appellate Division unpublished opinion</t>
  </si>
  <si>
    <t>Seville Condominium Association, Inc. v. Key-Kanuteh</t>
  </si>
  <si>
    <t>Verified – HOA prevailed; fee structure documented</t>
  </si>
  <si>
    <t>Direct court-opinion link. No separate professional management company is identified in the opinion. Inclusion documents the ratio between underlying charges and collection legal fees and the governing-document fee language.</t>
  </si>
  <si>
    <t>Collections / Special Assessment / Late Fees / Attorney Fees / Mechanism</t>
  </si>
  <si>
    <t>E479</t>
  </si>
  <si>
    <t>Homeowner defeating HOA collection suit after disputed payment/account proof</t>
  </si>
  <si>
    <t>S-G Owners Association, Inc.</t>
  </si>
  <si>
    <t>HOA / HOA collection counsel</t>
  </si>
  <si>
    <t>Assessment collection; refusal to accept/direct payment after attorney referral; late fees; pre-suit attorney fees; collection costs; foreclosure request</t>
  </si>
  <si>
    <t>The HOA's claimed balance grew from $837.55 in April 2014 to $1,253.35 by its final demand letter and then to $5,086.10 in a litigation-created statement including assessments, interest, late fees, pre-suit attorney fees, and collection costs. The owner testified that she tried to pay the association directly, was told it could not accept payment once counsel had been retained, and had sent a $2,000 check. After trial, the court entered a take-nothing judgment for the owner. The Texas First Court of Appeals affirmed because the association's evidence was too weak to establish the specific amounts owed.</t>
  </si>
  <si>
    <t>Claim grew from $837.55 to $5,086.10; homeowner testified to attempted $2,000 payment</t>
  </si>
  <si>
    <t>Owner merits victory; HOA take-nothing judgment affirmed</t>
  </si>
  <si>
    <t>S-G Owners Association, Inc. v. Sifuentes</t>
  </si>
  <si>
    <t>Verified – homeowner prevailed at trial and on appeal</t>
  </si>
  <si>
    <t>Direct court-opinion link. The court did not hold that no assessment obligation existed; the association failed to prove the particular debt and charges sufficiently.</t>
  </si>
  <si>
    <t>Collections / Attorney Referral / Refused Payment / Ledger Proof / Owner Win</t>
  </si>
  <si>
    <t>E480</t>
  </si>
  <si>
    <t>Townhouse owner recovering improperly collected assessments and defeating HOA fee recovery</t>
  </si>
  <si>
    <t>Gran Villa Townhouses Homeowners Association, Inc.</t>
  </si>
  <si>
    <t>Illegal assessment increase; overpayment offset; late fees; attorney fees; collection suit</t>
  </si>
  <si>
    <t>The HOA sued Leonard Jakab for unpaid dues and late fees on six units. Jakab counterclaimed that an eight-year dues increase violated the declaration. The trial court found the HOA had improperly collected $11,375 while also awarding the HOA $1,875 in unpaid dues, $375 in late charges and $17,500 in attorney fees. On appeal, the court held Jakab's overpayments exceeded his missed payments and late fees, so the HOA was not the prevailing party and was not entitled to its damages/attorney-fee recovery; the court modified/rendered judgment in Jakab's favor for the net overpayment.</t>
  </si>
  <si>
    <t>$11,375 improperly collected; HOA had been awarded $1,875 dues + $375 late fees + $17,500 attorney fees before appeal</t>
  </si>
  <si>
    <t>Owner merits/appellate victory; illegal assessment overpayments offset collection claim and HOA fee award defeated</t>
  </si>
  <si>
    <t>Published Texas appellate opinion available through FindLaw</t>
  </si>
  <si>
    <t>Jakab v. Gran Villa Townhouses Homeowners Association, Inc.</t>
  </si>
  <si>
    <t>Verified – homeowner prevailed on net collection/fee outcome</t>
  </si>
  <si>
    <t>Direct case-law link. 2004 matter included because it is at the beginning of the project's preferred post-2004 period and is a strong assessment-overcharge/collection-offset example.</t>
  </si>
  <si>
    <t>Collections / Illegal Assessments / Overpayments / Attorney Fees / Owner Win</t>
  </si>
  <si>
    <t>E481</t>
  </si>
  <si>
    <t>Homeowners obtaining protection against foreclosure for late-fee-only debt</t>
  </si>
  <si>
    <t>Northglen Association</t>
  </si>
  <si>
    <t>Late fees; assessment enforcement; lien foreclosure; statutory fee authority; homestead protection</t>
  </si>
  <si>
    <t>Homeowners challenged Northglen's authority to increase assessments, impose late fees, and use foreclosure remedies. The Texas Supreme Court held the HOA could impose late fees under the statute, but it also held those late fees were not part of the original deed restriction and therefore could not support foreclosure against a homestead. The court preserved the homeowner protection against foreclosure based on the late charge even though the HOA prevailed on other issues.</t>
  </si>
  <si>
    <t>Late fee amount $35 per delinquency referenced in litigation</t>
  </si>
  <si>
    <t>Mixed result; homeowners won significant foreclosure limitation on late-fee debt</t>
  </si>
  <si>
    <t>Texas Supreme Court opinion</t>
  </si>
  <si>
    <t>Brooks et al. v. Northglen Association</t>
  </si>
  <si>
    <t>Verified – mixed; homeowner foreclosure protection affirmed</t>
  </si>
  <si>
    <t>Direct court-opinion link. Do not code as an overall homeowner victory: Northglen prevailed on authority to impose late fees and some assessment issues. The owner-favorable holding is specifically that foreclosure was not an available remedy for the late fee.</t>
  </si>
  <si>
    <t>Collections / Late Fees / Foreclosure Limits / Mixed Owner Relief</t>
  </si>
  <si>
    <t>E482</t>
  </si>
  <si>
    <t>Homeowner in Spectrum-managed collection/foreclosure case showing extreme legal-fee multiple</t>
  </si>
  <si>
    <t>Brittany Lakes Homeowners Association, Inc.; Spectrum Association Management</t>
  </si>
  <si>
    <t>HOA / professional property management company / HOA collection counsel</t>
  </si>
  <si>
    <t>Management testimony and account administration; attorney referral; assessments; administrative fees; lien; foreclosure; attorney-fee escalation</t>
  </si>
  <si>
    <t>Spectrum Association Management's community manager was the principal account witness for the HOA after the delinquent account had been referred to counsel. The manager testified the owner owed roughly $6,500 in assessments and related charges. A jury awarded $6,400 in assessments, late charges, interest and costs but $53,000 in attorney fees, and the trial court ordered judicial foreclosure and sale. The appellate court affirmed the judgment.</t>
  </si>
  <si>
    <t>$6,400 underlying award versus $53,000 attorney fees; foreclosure ordered</t>
  </si>
  <si>
    <t>HOA prevailed; strong Spectrum-managed collection/attorney-fee escalation mechanism documented</t>
  </si>
  <si>
    <t>White v. Brittany Lakes Homeowners Association, Inc.</t>
  </si>
  <si>
    <t>Verified – HOA prevailed; management/fee mechanism documented</t>
  </si>
  <si>
    <t>Direct court-opinion link. Inclusion does not imply Spectrum or counsel acted improperly. It documents the management-company account role, attorney referral, and fee ratio in a foreclosure judgment.</t>
  </si>
  <si>
    <t>Collections / Spectrum Association Management / Foreclosure / Attorney Fees / Mechanism</t>
  </si>
  <si>
    <t>E483</t>
  </si>
  <si>
    <t>Property owners obtaining limited appellate relief in management-company special-assessment dispute</t>
  </si>
  <si>
    <t>Port of Call Homeowners Association; Alliance Association Management; Alliance employees; Niemann &amp; Niemann LLP</t>
  </si>
  <si>
    <t>HOA / professional property management company / management employees / HOA counsel</t>
  </si>
  <si>
    <t>Special assessment; management as contractor/agent; debt-collection claims; alleged self-dealing/misappropriation; attorney-fee sanctions exposure</t>
  </si>
  <si>
    <t>Owners challenged a special-assessment/common-area repair program and sued the HOA, Alliance Association Management, its employees, board members and counsel, alleging among other things misappropriation, self-dealing, improper assessments and debt-collection violations. The court rejected most of the claims and held the Texas debt-collection statute did not apply to the HOA charges. On appeal, however, the owners obtained reversal of one defamation dismissal and removal of conditional appellate attorney-fee awards that had been imposed across the non-defamation claims.</t>
  </si>
  <si>
    <t>Special-assessment amounts not stated in opinion; conditional appellate fee exposure removed</t>
  </si>
  <si>
    <t>Mostly owner loss; limited appellate relief on defamation claim and conditional attorney fees; management/special-assessment mechanism documented</t>
  </si>
  <si>
    <t>Green v. Port of Call Homeowners Association et al.</t>
  </si>
  <si>
    <t>Verified – mixed, predominantly defense victory</t>
  </si>
  <si>
    <t>Direct court-opinion link. Allegations of self-dealing and misappropriation were not proven; include only as allegations/mechanism. Alliance's role as management agent/contractor and the owners' special-assessment objections are documented.</t>
  </si>
  <si>
    <t>Special Assessments / Management Company / Alleged Self-Dealing / Debt Collection / Mixed Outcome</t>
  </si>
  <si>
    <t>E484</t>
  </si>
  <si>
    <t>Homeowner / property owner in HOA litigation</t>
  </si>
  <si>
    <t>Holly Park Condominium Homeowners Association</t>
  </si>
  <si>
    <t>Condominium association / foreclosure counsel</t>
  </si>
  <si>
    <t>Assessment lien; foreclosure; wrongful foreclosure</t>
  </si>
  <si>
    <t>Owner challenged an HOA foreclosure. The trial court granted summary judgment for the owner on wrongful foreclosure and the appellate court affirmed.</t>
  </si>
  <si>
    <t>Owner merits victory; wrongful-foreclosure judgment affirmed</t>
  </si>
  <si>
    <t>Court opinion</t>
  </si>
  <si>
    <t>Holly Park Condominium Homeowners Association v. Lowery</t>
  </si>
  <si>
    <t>Verified – direct court opinion</t>
  </si>
  <si>
    <t>Court record documents the litigated facts and disposition; inclusion does not imply broader wrongdoing beyond the specific matter.</t>
  </si>
  <si>
    <t>Collections / Foreclosure / Owner Win</t>
  </si>
  <si>
    <t>E485</t>
  </si>
  <si>
    <t>McCabe Trotter &amp; Beverly, P.C.; HOA</t>
  </si>
  <si>
    <t>Fines; daily penalties; collection counsel; FDCPA</t>
  </si>
  <si>
    <t>A $100 HOA fine plus $25-per-day penalties and other charges grew to more than $15,000 before referral to collection counsel. The federal court granted homeowners summary judgment as to liability on the litigated collection-law claims.</t>
  </si>
  <si>
    <t>$15,718.70 reported before referral</t>
  </si>
  <si>
    <t>Owner/plaintiff victory on liability; summary judgment granted in part</t>
  </si>
  <si>
    <t>Park et al. v. McCabe Trotter &amp; Beverly, P.C.</t>
  </si>
  <si>
    <t>Fines / Collections / HOA Attorney / Owner Win</t>
  </si>
  <si>
    <t>E486</t>
  </si>
  <si>
    <t>Traditional Heritage Village Homeowners Association</t>
  </si>
  <si>
    <t>Assessment collection; foreclosure; attorney fees</t>
  </si>
  <si>
    <t>Homeowners appealed a summary judgment in an HOA collection/foreclosure dispute. The appellate court reversed the attorney-fee award for insufficient proof but affirmed the remainder of the HOA judgment.</t>
  </si>
  <si>
    <t>$5,000 attorney-fee award at issue</t>
  </si>
  <si>
    <t>Mixed; homeowners won reversal of attorney-fee award, HOA prevailed on underlying claims</t>
  </si>
  <si>
    <t>Silverio &amp; Green v. Traditional Heritage Village Homeowners Association, Inc.</t>
  </si>
  <si>
    <t>Collections / Foreclosure / Attorney Fees / Mixed Owner Relief</t>
  </si>
  <si>
    <t>E487</t>
  </si>
  <si>
    <t>Park Spring Homeowners Association</t>
  </si>
  <si>
    <t>Delinquent assessments; lien; foreclosure; attorney fees</t>
  </si>
  <si>
    <t>The HOA obtained an order of sale for delinquent assessments. The homeowner sought payment arrangements on appeal but did not dispute the underlying assessments; the appellate court affirmed the judgment.</t>
  </si>
  <si>
    <t>HOA prevailed; foreclosure/order of sale affirmed</t>
  </si>
  <si>
    <t>Strahan v. Park Spring Homeowners Association, Inc.</t>
  </si>
  <si>
    <t>Collections / Foreclosure / Owner Loss / Mechanism</t>
  </si>
  <si>
    <t>E488</t>
  </si>
  <si>
    <t>Harris Village Property Owners Association</t>
  </si>
  <si>
    <t>HOA / enforcement counsel</t>
  </si>
  <si>
    <t>Fines; liens; enforcement; attorney fees</t>
  </si>
  <si>
    <t>Owners challenged enforcement of architectural restrictions after the HOA imposed fines, recorded a lien, and obtained substantial attorney fees. The appellate court affirmed the directed verdict for the HOA.</t>
  </si>
  <si>
    <t>$39,700 fines/lien and $96,000 attorney fees reported in record</t>
  </si>
  <si>
    <t>HOA prevailed; enforcement judgment affirmed</t>
  </si>
  <si>
    <t>Bodine v. Harris Village Property Owners Association</t>
  </si>
  <si>
    <t>Fines / Liens / Attorney Fees / Owner Loss / Mechanism</t>
  </si>
  <si>
    <t>E489</t>
  </si>
  <si>
    <t>Mazdabrook Commons Homeowners Association</t>
  </si>
  <si>
    <t>Fines / rule enforcement; homeowner speech rights</t>
  </si>
  <si>
    <t>The association enforced sign restrictions against an owner. The New Jersey Supreme Court held the restrictions unreasonably burdened the owner’s constitutional free-speech rights.</t>
  </si>
  <si>
    <t>Amount not stated</t>
  </si>
  <si>
    <t>Owner merits victory on enforcement restriction</t>
  </si>
  <si>
    <t>Mazdabrook Commons Homeowners' Association v. Khan</t>
  </si>
  <si>
    <t>Fines / Rule Enforcement / Owner Win</t>
  </si>
  <si>
    <t>E490</t>
  </si>
  <si>
    <t>Orleans Harbour Homeowners Association</t>
  </si>
  <si>
    <t>Property rights; easement/adverse possession; HOA litigation</t>
  </si>
  <si>
    <t>A property owner defeated the HOA’s easement-by-estoppel claim on appeal and obtained a new trial on adverse possession.</t>
  </si>
  <si>
    <t>Owner/property-owner substantial appellate victory; HOA take-nothing on easement claim</t>
  </si>
  <si>
    <t>West Harbour, LLC v. Orleans Harbour Homeowners Association, Inc.</t>
  </si>
  <si>
    <t>Governance / Property Rights / Owner Relief</t>
  </si>
  <si>
    <t>E491</t>
  </si>
  <si>
    <t>Stonewater Homeowners Association</t>
  </si>
  <si>
    <t>HOA / collection-enforcement counsel</t>
  </si>
  <si>
    <t>Agreed judgment; foreclosure terms; owner settlement dispute</t>
  </si>
  <si>
    <t>The HOA appealed an agreed judgment after owners disputed foreclosure language. The appellate court held the judgment reflected the parties’ agreement as clarified at the hearing and affirmed.</t>
  </si>
  <si>
    <t>Owner-favorable settlement/judgment terms preserved; HOA appeal rejected</t>
  </si>
  <si>
    <t>Stonewater Homeowners Association, Inc. v. Evans</t>
  </si>
  <si>
    <t>Collections / Foreclosure / Settlement / Owner Relief</t>
  </si>
  <si>
    <t>E492</t>
  </si>
  <si>
    <t>Northampton Maintenance Fund, Inc.</t>
  </si>
  <si>
    <t>HOA / property owner</t>
  </si>
  <si>
    <t>Rental restrictions; fines; attorney fees</t>
  </si>
  <si>
    <t>The trial court had voided fines/charges and awarded the owner attorney fees, but the 2026 appellate court reversed the judgment and remanded, including reconsideration of attorney fees.</t>
  </si>
  <si>
    <t>$12,695.50 trial attorney-fee award referenced</t>
  </si>
  <si>
    <t>HOA appellate victory; prior owner trial relief reversed/remanded</t>
  </si>
  <si>
    <t>Northampton Maintenance Fund, Inc. v. JAS Luxury Rentals, LLC</t>
  </si>
  <si>
    <t>Fines / Rental Enforcement / Attorney Fees / Mixed Outcome</t>
  </si>
  <si>
    <t>E493</t>
  </si>
  <si>
    <t>AMI Association Management, Inc.; Parc Condominium Association</t>
  </si>
  <si>
    <t>Professional management company / condominium association</t>
  </si>
  <si>
    <t>Insurance proceeds; management delay; contract liability</t>
  </si>
  <si>
    <t>Owners alleged unreasonable delay in distribution of insurance proceeds. A jury found AMI independently liable, but the appellate court reversed a $48,000 component and remanded for a new trial.</t>
  </si>
  <si>
    <t>$48,000 construction-cost component reversed</t>
  </si>
  <si>
    <t>Owner obtained jury liability finding against management; appellate court remanded damages/new trial</t>
  </si>
  <si>
    <t>AMI Association Management, Inc. &amp; Parc Condominium Association v. Sprecher</t>
  </si>
  <si>
    <t>Insurance / Management Company / Direct Liability / Mixed</t>
  </si>
  <si>
    <t>E494</t>
  </si>
  <si>
    <t>Oaks on Monfort Condominium Association; Veracity Inc.; Lori Welsh</t>
  </si>
  <si>
    <t>Condominium association / professional property manager</t>
  </si>
  <si>
    <t>Chargebacks; security costs; management enforcement</t>
  </si>
  <si>
    <t>Owners challenged association and manager actions including entry to a unit and security-cost chargebacks. The appellate court affirmed the judgment for the association, management company, and manager.</t>
  </si>
  <si>
    <t>Defendants prevailed; management/enforcement mechanism documented</t>
  </si>
  <si>
    <t>Simpson &amp; Harding v. Oaks on Monfort Condominium Association, Veracity Inc. &amp; Welsh</t>
  </si>
  <si>
    <t>Management Company / Chargebacks / Enforcement / Owner Loss</t>
  </si>
  <si>
    <t>E495</t>
  </si>
  <si>
    <t>Swede Hill Lofts Homeowners Association</t>
  </si>
  <si>
    <t>Fines; enforcement litigation; board authorization</t>
  </si>
  <si>
    <t>An owner challenged HOA enforcement and the procedure used to authorize litigation after members voted to assess fines. The appellate court rejected the owner’s challenges and affirmed.</t>
  </si>
  <si>
    <t>HOA prevailed; fine/enforcement mechanism documented</t>
  </si>
  <si>
    <t>Smith v. Swede Hill Lofts Homeowners Association, Inc.</t>
  </si>
  <si>
    <t>Fines / Enforcement / Owner Loss</t>
  </si>
  <si>
    <t>E496</t>
  </si>
  <si>
    <t>Laguna Bay Condominium Association</t>
  </si>
  <si>
    <t>Special assessments; HOA fees; litigation</t>
  </si>
  <si>
    <t>The trial court directed a verdict for the association on HOA fees and several special assessments, and the jury rejected the owner’s remaining theories. The appellate court affirmed.</t>
  </si>
  <si>
    <t>$23,816.49 HOA fees; $91,316 repair assessment; other assessments also awarded</t>
  </si>
  <si>
    <t>HOA prevailed; substantial special-assessment judgment affirmed</t>
  </si>
  <si>
    <t>Wilkins v. Laguna Bay Condominium Association, Inc.</t>
  </si>
  <si>
    <t>Special Assessments / Collections / Owner Loss / Mechanism</t>
  </si>
  <si>
    <t>E497</t>
  </si>
  <si>
    <t>Tapatio Springs Homeowners Association</t>
  </si>
  <si>
    <t>Assessment and governance dispute; declaratory relief</t>
  </si>
  <si>
    <t>A property owner appealed judgment in a dispute with the HOA. The appellate court reversed and rendered in part and remanded other issues.</t>
  </si>
  <si>
    <t>Property-owner partial appellate victory</t>
  </si>
  <si>
    <t>Ohio Development, LLC v. Tapatio Springs Homeowners Association</t>
  </si>
  <si>
    <t>Assessments / Governance / Owner Relief</t>
  </si>
  <si>
    <t>E498</t>
  </si>
  <si>
    <t>Aspen Homeowners Association</t>
  </si>
  <si>
    <t>HOA / homeowners</t>
  </si>
  <si>
    <t>Assessments/enforcement litigation</t>
  </si>
  <si>
    <t>Washington appellate litigation involving HOA obligations and enforcement against owners; included as a distinct court record with the linked opinion controlling the precise disposition.</t>
  </si>
  <si>
    <t>See linked opinion</t>
  </si>
  <si>
    <t>Court-record mechanism; disposition coded from linked opinion</t>
  </si>
  <si>
    <t>Aspen Homeowners Association v. Du &amp; Yang</t>
  </si>
  <si>
    <t>Collections / HOA Enforcement / Litigation</t>
  </si>
  <si>
    <t>E500</t>
  </si>
  <si>
    <t>Autumn Crest at Timberridge Homeowners Association</t>
  </si>
  <si>
    <t>Small delinquency; collection-fee escalation</t>
  </si>
  <si>
    <t>An HOA account involving less than $1,000 in dues/fines was referred for collection and the demand later exceeded $4,900 with legal/collection charges.</t>
  </si>
  <si>
    <t>$800+ underlying dues/fines; $4,900+ later collection demand</t>
  </si>
  <si>
    <t>Court litigation; fee-escalation mechanism documented</t>
  </si>
  <si>
    <t>Autumn Crest at Timberridge Homeowners Association v. Wojdyla</t>
  </si>
  <si>
    <t>Collections / Attorney Fees / Fee Escalation</t>
  </si>
  <si>
    <t>E501</t>
  </si>
  <si>
    <t>1223 Spring Street Owners Association</t>
  </si>
  <si>
    <t>Condominium association / owner</t>
  </si>
  <si>
    <t>Special assessment; late payment; attorney referral</t>
  </si>
  <si>
    <t>An owner disputed obligations arising from a special assessment and late payments after the association hired counsel, generating litigation over the assessment/collection process.</t>
  </si>
  <si>
    <t>Court litigation; special-assessment/attorney-referral mechanism documented</t>
  </si>
  <si>
    <t>1223 Spring Street Owners Association v. Steichen</t>
  </si>
  <si>
    <t>Special Assessments / Collections / Attorney Referral</t>
  </si>
  <si>
    <t>E502</t>
  </si>
  <si>
    <t>Castilian Hills Homeowners Association</t>
  </si>
  <si>
    <t>Assessments; interest; late fees; lien</t>
  </si>
  <si>
    <t>The association pursued unpaid assessments, interest, late fees, and costs secured by a lien. The appellate court affirmed the association’s recovery.</t>
  </si>
  <si>
    <t>HOA prevailed; assessment/lien mechanism documented</t>
  </si>
  <si>
    <t>Castilian Hills Homeowners Association v. Chaffins</t>
  </si>
  <si>
    <t>Collections / Late Fees / Liens / Owner Loss</t>
  </si>
  <si>
    <t>E503</t>
  </si>
  <si>
    <t>Washington / Federal</t>
  </si>
  <si>
    <t>Sixty-01 Association of Apartment Owners</t>
  </si>
  <si>
    <t>Postpetition assessments; bankruptcy; lien</t>
  </si>
  <si>
    <t>The Ninth Circuit held postpetition condominium assessments were dischargeable in the owner’s Chapter 13 case, while the association retained its in rem lien rights.</t>
  </si>
  <si>
    <t>Owner bankruptcy victory on personal liability; association retained lien</t>
  </si>
  <si>
    <t>Goudelock v. Sixty-01 Association of Apartment Owners</t>
  </si>
  <si>
    <t>Collections / Bankruptcy / Liens / Owner Win</t>
  </si>
  <si>
    <t>E504</t>
  </si>
  <si>
    <t>Habitat Condominium Owners Association</t>
  </si>
  <si>
    <t>Fines; collection attorney fees</t>
  </si>
  <si>
    <t>The court addressed whether governing-document language requiring owners to pay collection costs was sufficient to shift attorney fees incurred enforcing fines.</t>
  </si>
  <si>
    <t>Owner-favorable attorney-fee limitation</t>
  </si>
  <si>
    <t>Hagans v. Habitat Condominium Owners Association</t>
  </si>
  <si>
    <t>Fines / Attorney Fees / Owner Relief</t>
  </si>
  <si>
    <t>E505</t>
  </si>
  <si>
    <t>Ottawa Street Condominium Association</t>
  </si>
  <si>
    <t>Assessment/enforcement litigation; attorney fees</t>
  </si>
  <si>
    <t>After prevailing in the underlying condominium dispute, the association received a six-figure attorney-fee award. The appellate matter documents the scale of fee shifting in HOA litigation.</t>
  </si>
  <si>
    <t>$130,158.23 attorney-fee award</t>
  </si>
  <si>
    <t>Association prevailed; large fee-shifting mechanism documented</t>
  </si>
  <si>
    <t>O'Loughlin v. Ottawa Street Condominium Association</t>
  </si>
  <si>
    <t>Attorney Fees / Condominium Enforcement / Owner Loss</t>
  </si>
  <si>
    <t>E506</t>
  </si>
  <si>
    <t>Millbrook Association</t>
  </si>
  <si>
    <t>Dues; fees; jurisdiction for collection suits</t>
  </si>
  <si>
    <t>The 2025 appellate case addressed jurisdiction over HOA dues and fee collection actions in municipal court.</t>
  </si>
  <si>
    <t>Court litigation; collection-jurisdiction mechanism documented</t>
  </si>
  <si>
    <t>Millbrook Association v. Wills</t>
  </si>
  <si>
    <t>Collections / Dues / Legal Process</t>
  </si>
  <si>
    <t>E507</t>
  </si>
  <si>
    <t>Grand Arcade Condominium Owners Association</t>
  </si>
  <si>
    <t>Condominium association / property owner</t>
  </si>
  <si>
    <t>Common expenses; receiver; foreclosure</t>
  </si>
  <si>
    <t>The association pursued unpaid common expenses and related foreclosure/receiver relief against a unit owner.</t>
  </si>
  <si>
    <t>Court litigation; condominium collection/foreclosure mechanism documented</t>
  </si>
  <si>
    <t>Grand Arcade Condominium Owners Association v. GA 120 LLC</t>
  </si>
  <si>
    <t>Collections / Foreclosure / Receiver</t>
  </si>
  <si>
    <t>E508</t>
  </si>
  <si>
    <t>Indian Creek Condominium Property Owners Association</t>
  </si>
  <si>
    <t>Lien; assessments; late fees; enforcement assessments; attorney fees</t>
  </si>
  <si>
    <t>The association recorded a lien that included assessments and contemplated continuing administrative late fees, enforcement assessments, collection costs, and attorney fees.</t>
  </si>
  <si>
    <t>$1,020.50 initial lien plus continuing charges</t>
  </si>
  <si>
    <t>HOA prevailed; layered collection-charge mechanism documented</t>
  </si>
  <si>
    <t>Indian Creek Condominium Property Owners Association v. Team Equity</t>
  </si>
  <si>
    <t>Collections / Liens / Late Fees / Attorney Fees</t>
  </si>
  <si>
    <t>E509</t>
  </si>
  <si>
    <t>Farmington Square Condominium Association</t>
  </si>
  <si>
    <t>Condominium assessments; foreclosure</t>
  </si>
  <si>
    <t>The parties returned to appellate court after an earlier foreclosure ruling; the 2025 decision documents continued association foreclosure litigation and the current judgment.</t>
  </si>
  <si>
    <t>HOA prevailed in current appellate disposition</t>
  </si>
  <si>
    <t>Farmington Square Condominium Association v. Mitan</t>
  </si>
  <si>
    <t>Collections / Foreclosure / Owner Loss</t>
  </si>
  <si>
    <t>E510</t>
  </si>
  <si>
    <t>Main Street Lofts Condominium Association</t>
  </si>
  <si>
    <t>Condominium association / purchaser</t>
  </si>
  <si>
    <t>Special assessments; successor-owner liability</t>
  </si>
  <si>
    <t>The case involved three large project assessments spread across 22 units and a later purchaser’s liability for condominium charges.</t>
  </si>
  <si>
    <t>$57,926; $836,000; and $1.232 million association-wide special assessments</t>
  </si>
  <si>
    <t>Court litigation; large special-assessment mechanism documented</t>
  </si>
  <si>
    <t>Main Street Lofts Condominium Association v. Oscar Franco Parodi</t>
  </si>
  <si>
    <t>Special Assessments / Successor Liability / Mechanism</t>
  </si>
  <si>
    <t>E511</t>
  </si>
  <si>
    <t>Property management / condominium foreclosure court record</t>
  </si>
  <si>
    <t>Great Lakes Property Management Consultants, Inc.; condominium association interests</t>
  </si>
  <si>
    <t>Property management / foreclosure purchaser</t>
  </si>
  <si>
    <t>Condominium lien foreclosure; property-management role</t>
  </si>
  <si>
    <t>Published Michigan litigation addressing condominium assessment liens and foreclosure mechanics, with a property-management company as a named party.</t>
  </si>
  <si>
    <t>Published court ruling; foreclosure/lien mechanism documented</t>
  </si>
  <si>
    <t>Great Lakes Property Management Consultants, Inc. v. HP Foreclosure Solution, LLC</t>
  </si>
  <si>
    <t>Management Company / Liens / Foreclosure / Legal Structure</t>
  </si>
  <si>
    <t>E512</t>
  </si>
  <si>
    <t>Highland Lakes Condominium Association</t>
  </si>
  <si>
    <t>Assessment increase; lien; foreclosure threat; attorney fees</t>
  </si>
  <si>
    <t>The association increased monthly assessments, recorded a lien, and threatened foreclosure. The appellate matter also addressed attorney-fee recovery.</t>
  </si>
  <si>
    <t>HOA prevailed substantially; lien/fee mechanism documented</t>
  </si>
  <si>
    <t>Highland Lakes Condominium Association v. Warren</t>
  </si>
  <si>
    <t>Collections / Liens / Foreclosure / Attorney Fees</t>
  </si>
  <si>
    <t>E513</t>
  </si>
  <si>
    <t>Shoreline East Condominium Association</t>
  </si>
  <si>
    <t>Assessments and condominium enforcement</t>
  </si>
  <si>
    <t>Condominium-association litigation involving owner obligations and enforcement; included as a distinct court record with the linked opinion controlling the precise result.</t>
  </si>
  <si>
    <t>Court litigation; outcome controlled by linked opinion</t>
  </si>
  <si>
    <t>Shoreline East Condominium Association v. Gray</t>
  </si>
  <si>
    <t>Collections / Condominium Enforcement</t>
  </si>
  <si>
    <t>E514</t>
  </si>
  <si>
    <t>Telegraph Square II Condominium</t>
  </si>
  <si>
    <t>Condominium association / commercial unit owner</t>
  </si>
  <si>
    <t>Assessments; legal fees; account dispute</t>
  </si>
  <si>
    <t>The unit owner disputed association assessments including legal fees. The trial court entered judgment for the owner on all four counts and the appellate case reviewed that result.</t>
  </si>
  <si>
    <t>Property-owner trial victory documented</t>
  </si>
  <si>
    <t>Telegraph Square II Condominium v. 7205 Telegraph Square, LLC</t>
  </si>
  <si>
    <t>Collections / Legal Fees / Owner Win</t>
  </si>
  <si>
    <t>E515</t>
  </si>
  <si>
    <t>Manchester Oaks Homeowners Association</t>
  </si>
  <si>
    <t>Common-area obligations; damages; attorney fees</t>
  </si>
  <si>
    <t>Owners prevailed in litigation against the HOA and obtained damages plus a substantial attorney-fee/cost award; the Virginia Supreme Court remanded for additional fees.</t>
  </si>
  <si>
    <t>$2,355, $2,355, and $705 damages; $188,840.69 costs/fees</t>
  </si>
  <si>
    <t>Owner merits victory with major attorney-fee award</t>
  </si>
  <si>
    <t>Manchester Oaks Homeowners Association v. Batt</t>
  </si>
  <si>
    <t>HOA Duties / Attorney Fees / Owner Win</t>
  </si>
  <si>
    <t>E516</t>
  </si>
  <si>
    <t>Lee's Crossing Homeowners Association; developer</t>
  </si>
  <si>
    <t>HOA / developer</t>
  </si>
  <si>
    <t>Developer/HOA power; declaration amendment; owner challenge</t>
  </si>
  <si>
    <t>Owners challenged use of HOA/developer authority and amendments they alleged harmed property owners. The case documents litigation over the scope of HOA/developer powers.</t>
  </si>
  <si>
    <t>Court litigation; developer/HOA-control mechanism documented</t>
  </si>
  <si>
    <t>Zinone v. Lee's Crossing Homeowners Association</t>
  </si>
  <si>
    <t>Developer / Governance / Owner Challenge</t>
  </si>
  <si>
    <t>E517</t>
  </si>
  <si>
    <t>West Columbia Place Condominium Association; property manager</t>
  </si>
  <si>
    <t>Condominium association / property manager</t>
  </si>
  <si>
    <t>Paid-assessment letter; closing demand; disputed charges</t>
  </si>
  <si>
    <t>A purchaser paid a balance shown in a paid-assessment letter under protest and then litigated the association’s claimed condominium charges, creating a record of management-linked closing/collection demands.</t>
  </si>
  <si>
    <t>$7,803.97 paid-assessment demand</t>
  </si>
  <si>
    <t>Court litigation; management/closing-balance mechanism documented</t>
  </si>
  <si>
    <t>V&amp;T Investment Corp. v. West Columbia Place Condominium Association</t>
  </si>
  <si>
    <t>Collections / Management Company / Resale / Paid Assessment</t>
  </si>
  <si>
    <t>E518</t>
  </si>
  <si>
    <t>Spanish Court Two Condominium Association</t>
  </si>
  <si>
    <t>Special assessment; owner defenses</t>
  </si>
  <si>
    <t>An owner appealed litigation over a condominium special assessment; the appellate court reversed/remanded in part, restoring part of the owner’s defenses/claims.</t>
  </si>
  <si>
    <t>Owner partial appellate relief; special-assessment dispute remanded</t>
  </si>
  <si>
    <t>Spanish Court Two Condominium Association v. Carlson</t>
  </si>
  <si>
    <t>Special Assessments / Owner Relief</t>
  </si>
  <si>
    <t>E519</t>
  </si>
  <si>
    <t>Farmington Woods Homeowners Association</t>
  </si>
  <si>
    <t>Covenant enforcement; waiver defense; attorney fees</t>
  </si>
  <si>
    <t>Homeowners challenged enforcement of neighborhood covenants and asserted waiver based on prior nonenforcement. The Nebraska Supreme Court recognized the enforceability framework and provided owner-favorable relief on the waiver issue.</t>
  </si>
  <si>
    <t>Owner partial appellate victory; waiver/enforcement issue reversed/remanded</t>
  </si>
  <si>
    <t>Farmington Woods Homeowners Association v. Wolf</t>
  </si>
  <si>
    <t>Covenant Enforcement / Waiver / Owner Relief</t>
  </si>
  <si>
    <t>E520</t>
  </si>
  <si>
    <t>LeParc Condominium Association</t>
  </si>
  <si>
    <t>Assessments; fines; attorney fees; statutory lien</t>
  </si>
  <si>
    <t>The court granted the association summary judgment on most claims but left the owner’s challenge to assessed attorney fees unresolved, recognizing a distinct dispute over whether those fees could be charged.</t>
  </si>
  <si>
    <t>Mostly association victory; owner attorney-fee claim survived</t>
  </si>
  <si>
    <t>Newton v. LeParc Condominium Association, et al.</t>
  </si>
  <si>
    <t>Collections / Attorney Fees / Liens / Mixed</t>
  </si>
  <si>
    <t>E521</t>
  </si>
  <si>
    <t>Towne Estates Condominium Owners Association; Emory Hill; BC Consulting</t>
  </si>
  <si>
    <t>Condominium association / management-related parties</t>
  </si>
  <si>
    <t>Fire-loss special assessment; repair costs; management/consultant defendants</t>
  </si>
  <si>
    <t>Owners challenged a fire-loss assessment and sought to shift repair shortfall costs to the association and related defendants. The Chancery Court dismissed substantial portions of the owners’ claims.</t>
  </si>
  <si>
    <t>Defendants prevailed substantially; special-assessment mechanism documented</t>
  </si>
  <si>
    <t>Breedy-Fryson et al. v. Towne Estates Condominium Owners Association</t>
  </si>
  <si>
    <t>Special Assessments / Management / Owner Loss</t>
  </si>
  <si>
    <t>E522</t>
  </si>
  <si>
    <t>Association litigation alleging financial/contract misconduct</t>
  </si>
  <si>
    <t>Marina View Condominium Association; Rehoboth Marina Ventures, LLC</t>
  </si>
  <si>
    <t>Condominium association / developer/vendor party</t>
  </si>
  <si>
    <t>Contract; alleged fraud/collusion/unconscionability</t>
  </si>
  <si>
    <t>The association alleged fraud, collusion, unconscionability and sought rescission. The court recommended dismissal of those theories while allowing a contract/injunctive claim to remain.</t>
  </si>
  <si>
    <t>Mixed; fraud/collusion theories dismissed, contract claim survived</t>
  </si>
  <si>
    <t>Marina View Condominium Association v. Rehoboth Marina Ventures, LLC</t>
  </si>
  <si>
    <t>Procurement / Contract / Alleged Collusion / Mixed</t>
  </si>
  <si>
    <t>E523</t>
  </si>
  <si>
    <t>Nagle &amp; Zaller, P.C.; HOA clients</t>
  </si>
  <si>
    <t>HOA collection law firm / homeowners</t>
  </si>
  <si>
    <t>Confessed judgments; attorney fees; collection charges; consumer protection</t>
  </si>
  <si>
    <t>Maryland’s high court addressed HOA collection practices using confessed-judgment notes. The record discusses added costs, pre-assessed interest, and allegedly unreasonable attorney fees that increased homeowner balances.</t>
  </si>
  <si>
    <t>Amounts vary by consumer</t>
  </si>
  <si>
    <t>Owner/consumer-protection precedent; abusive collection mechanism documented</t>
  </si>
  <si>
    <t>Nagle &amp; Zaller, P.C. v. Delegall</t>
  </si>
  <si>
    <t>Collections / HOA Attorney / Consumer Protection / Owner Relief</t>
  </si>
  <si>
    <t>E524</t>
  </si>
  <si>
    <t>Condominium association / homeowner</t>
  </si>
  <si>
    <t>Continuing liens; assessments; attorney fees; late charges</t>
  </si>
  <si>
    <t>After years of liens and judgments, Maryland’s high court held the lien statute does not secure unpaid damages, collection costs, late charges, or attorney fees that accrue after the lien is recorded.</t>
  </si>
  <si>
    <t>$4,702.80 ninth-lien notice referenced</t>
  </si>
  <si>
    <t>Owner-favorable statutory ruling; continuing lien rejected</t>
  </si>
  <si>
    <t>In re Walker</t>
  </si>
  <si>
    <t>Collections / Liens / Attorney Fees / Owner Win</t>
  </si>
  <si>
    <t>E526</t>
  </si>
  <si>
    <t>Brunswick Forest Homeowners Association</t>
  </si>
  <si>
    <t>Attorney fees; enforcement agreement</t>
  </si>
  <si>
    <t>The HOA prevailed after a bench trial and obtained $28,372.06 in attorney fees under the governing agreement; the appellate court affirmed.</t>
  </si>
  <si>
    <t>$28,372.06 attorney fees</t>
  </si>
  <si>
    <t>HOA prevailed; fee-shifting mechanism documented</t>
  </si>
  <si>
    <t>Parker v. Brunswick Forest Homeowners Association, Inc.</t>
  </si>
  <si>
    <t>Attorney Fees / HOA Enforcement / Owner Loss</t>
  </si>
  <si>
    <t>E527</t>
  </si>
  <si>
    <t>Bradford Hills HOA; board members; counsel</t>
  </si>
  <si>
    <t>HOA / board / counsel</t>
  </si>
  <si>
    <t>Fines; owner challenge; derivative-action dismissal</t>
  </si>
  <si>
    <t>An owner alleged the HOA illegally assessed fines. The trial court dismissed the HOA-related claims on pleading/derivative grounds and the appellate litigation reviewed those rulings.</t>
  </si>
  <si>
    <t>Owner claims dismissed substantially; fine mechanism documented</t>
  </si>
  <si>
    <t>Burgess v. Bradford Hills HOA et al.</t>
  </si>
  <si>
    <t>Fines / Governance / Owner Loss</t>
  </si>
  <si>
    <t>E529</t>
  </si>
  <si>
    <t>4215 Harding Road Homeowners Association</t>
  </si>
  <si>
    <t>Forced sale; attorney fees; enforcement</t>
  </si>
  <si>
    <t>After earlier rulings ordering sale of an owner’s condominium, the association pursued supplemental attorney fees from sale proceeds. The appellate court affirmed the fee award.</t>
  </si>
  <si>
    <t>$85,000 sale proceeds; $63,473.24 association disbursement motion referenced</t>
  </si>
  <si>
    <t>HOA prevailed; forced-sale/fee mechanism documented</t>
  </si>
  <si>
    <t>4215 Harding Road Homeowners' Association v. Harris</t>
  </si>
  <si>
    <t>Enforcement / Forced Sale / Attorney Fees / Owner Loss</t>
  </si>
  <si>
    <t>E530</t>
  </si>
  <si>
    <t>Avalon Sections 4.6 and 7 Homeowners Association</t>
  </si>
  <si>
    <t>Covenant enforcement; attorney fees</t>
  </si>
  <si>
    <t>The association prevailed in enforcement litigation and the appellate court affirmed, awarding the HOA reasonable attorney fees on appeal.</t>
  </si>
  <si>
    <t>HOA prevailed; appellate attorney fees awarded</t>
  </si>
  <si>
    <t>Avalon Sections 4.6 and 7 Homeowners Association v. Chaudhuri</t>
  </si>
  <si>
    <t>Covenant Enforcement / Attorney Fees / Owner Loss</t>
  </si>
  <si>
    <t>E531</t>
  </si>
  <si>
    <t>Laveen Meadows Homeowners Association</t>
  </si>
  <si>
    <t>Assessment lien; foreclosure; attorney fees after payment</t>
  </si>
  <si>
    <t>The owner paid $5,000, which eliminated the unpaid assessment principal, but the court still permitted foreclosure for remaining fees/costs and awarded more than $11,000 in attorney fees. The appellate court affirmed denial of relief from the default judgment.</t>
  </si>
  <si>
    <t>$8,246.48 initial claimed principal; $11,190 attorney fees + $1,012.25 costs</t>
  </si>
  <si>
    <t>HOA prevailed; foreclosure allowed after assessment principal paid</t>
  </si>
  <si>
    <t>Laveen Meadows Homeowners Association v. Mejia</t>
  </si>
  <si>
    <t>Collections / Foreclosure / Attorney Fees / Owner Loss / Mechanism</t>
  </si>
  <si>
    <t>E532</t>
  </si>
  <si>
    <t>Vista Del Corazon Homeowners Association</t>
  </si>
  <si>
    <t>Rule amendments; injunction; enforcement</t>
  </si>
  <si>
    <t>Owners challenged amendments and a permanent injunction. The appellate court held several provisions unforeseeable/unreasonable and concluded the trial court abused its discretion in compelling compliance with them.</t>
  </si>
  <si>
    <t>Owner substantial appellate relief; injunction limited/reversed in part</t>
  </si>
  <si>
    <t>Vista Del Corazon Homeowners Association v. Smith &amp; Kintz</t>
  </si>
  <si>
    <t>Rule Enforcement / Injunction / Owner Relief</t>
  </si>
  <si>
    <t>E533</t>
  </si>
  <si>
    <t>Homeowners association</t>
  </si>
  <si>
    <t>Assessment lien; personal liability; foreclosure</t>
  </si>
  <si>
    <t>An owner appealed personal liability for unpaid HOA assessments after the association obtained summary judgment and attorney fees; the case separately involved lien/foreclosure claims.</t>
  </si>
  <si>
    <t>Court litigation; assessment/foreclosure mechanism documented</t>
  </si>
  <si>
    <t>Eastwood v. Cathey</t>
  </si>
  <si>
    <t>Collections / Assessments / Foreclosure / Attorney Fees</t>
  </si>
  <si>
    <t>E534</t>
  </si>
  <si>
    <t>Sierra Verde Ranch Property Owners Association</t>
  </si>
  <si>
    <t>POA</t>
  </si>
  <si>
    <t>Assessments; lien; foreclosure; attorney fees</t>
  </si>
  <si>
    <t>The owner argued the association had failed to maintain roads/well services. The appellate court held the assessment obligation remained independent and affirmed summary judgment and foreclosure-related relief for the association.</t>
  </si>
  <si>
    <t>POA prevailed; assessment/lien/foreclosure judgment affirmed</t>
  </si>
  <si>
    <t>Sierra Verde Ranch Property Owners Association v. McLaren</t>
  </si>
  <si>
    <t>Collections / Assessments / Foreclosure / Owner Loss</t>
  </si>
  <si>
    <t>E535</t>
  </si>
  <si>
    <t>Carlyle Condominium</t>
  </si>
  <si>
    <t>Condominium association / unit owner</t>
  </si>
  <si>
    <t>Assessments; lien; attorney fees; compound interest</t>
  </si>
  <si>
    <t>The appellate court affirmed most of the condominium judgment but remanded the attorney-fee award for reasonableness review and reversed/modified compound-interest treatment.</t>
  </si>
  <si>
    <t>Owner partial appellate relief on fees/interest; association prevailed otherwise</t>
  </si>
  <si>
    <t>Carlyle Condominium v. Spruce Street Properties</t>
  </si>
  <si>
    <t>Collections / Attorney Fees / Interest / Mixed</t>
  </si>
  <si>
    <t>E536</t>
  </si>
  <si>
    <t>Pier 3 Condominium Association; property management company</t>
  </si>
  <si>
    <t>Condominium association / professional property management</t>
  </si>
  <si>
    <t>Assessments; management testimony; attorney-fee escalation</t>
  </si>
  <si>
    <t>A jury awarded $41,000 in condominium assessments/fees and $68,000 in legal fees, supported in part by testimony from the management company’s executive director.</t>
  </si>
  <si>
    <t>$41,000 assessments/fees + $68,000 legal fees = $109,000 judgment</t>
  </si>
  <si>
    <t>Association prevailed; management-linked attorney-fee multiple documented</t>
  </si>
  <si>
    <t>Pier 3 Condominium Association v. Khalil</t>
  </si>
  <si>
    <t>Collections / Management Company / Attorney Fees / Mechanism</t>
  </si>
  <si>
    <t>E537</t>
  </si>
  <si>
    <t>The Arches Condominium Association; management company president</t>
  </si>
  <si>
    <t>Small assessment shortfalls; special assessments; late fee; attorney fees</t>
  </si>
  <si>
    <t>The underlying unpaid amounts totaled roughly $1,143, while the association sought and obtained $26,206.68 in attorney fees; the management company president testified that the fees were reasonable.</t>
  </si>
  <si>
    <t>$239 shortfall + $500 snow assessment + $300 capital assessment + $104 late fee; $26,206.68 attorney fees</t>
  </si>
  <si>
    <t>Association prevailed; extreme legal-fee multiple documented</t>
  </si>
  <si>
    <t>The Arches Condominium Association v. Robinson</t>
  </si>
  <si>
    <t>Collections / Management Company / Special Assessments / Attorney Fees</t>
  </si>
  <si>
    <t>E538</t>
  </si>
  <si>
    <t>Wild Acres Lakes Property &amp; Homeowners Association</t>
  </si>
  <si>
    <t>HOA / former directors</t>
  </si>
  <si>
    <t>Special assessments; legal fees; member approval</t>
  </si>
  <si>
    <t>The trial court found special assessments imposed against former directors void because the association failed to follow its bylaws requiring membership approval. The appellate court agreed.</t>
  </si>
  <si>
    <t>Owner/director-appellees merits victory; special assessments void</t>
  </si>
  <si>
    <t>Wilson et al. v. Wild Acres Lakes Property &amp; Homeowners Association</t>
  </si>
  <si>
    <t>Special Assessments / Governance / Owner Win</t>
  </si>
  <si>
    <t>E539</t>
  </si>
  <si>
    <t>Courtside Condominium Owners Association</t>
  </si>
  <si>
    <t>Daily fines; lien; enforcement</t>
  </si>
  <si>
    <t>The association imposed $100-per-day fines that reached $42,500 and secured them with a lien. The appellate court upheld the validity/enforceability of the fines and remanded the unpaid-fine counterclaim.</t>
  </si>
  <si>
    <t>$42,500 fines</t>
  </si>
  <si>
    <t>Association prevailed on fine validity; large daily-fine mechanism documented</t>
  </si>
  <si>
    <t>Slok, LLC v. Courtside Condominium Owners Association</t>
  </si>
  <si>
    <t>Fines / Liens / Daily Penalties / Owner Loss</t>
  </si>
  <si>
    <t>E540</t>
  </si>
  <si>
    <t>Riverpointe Homeowners Association</t>
  </si>
  <si>
    <t>Fines; foreclosure authority</t>
  </si>
  <si>
    <t>The appellate case applied North Carolina law governing when an HOA may levy fines and pursue enforcement, in the context of a homeowner challenge to foreclosure/fine authority.</t>
  </si>
  <si>
    <t>Court litigation; fine/foreclosure authority documented</t>
  </si>
  <si>
    <t>Riverpointe Homeowners Association v. Mallory</t>
  </si>
  <si>
    <t>Fines / Foreclosure / Legal Authority</t>
  </si>
  <si>
    <t>E541</t>
  </si>
  <si>
    <t>The Landfall Council of Associations, Inc.</t>
  </si>
  <si>
    <t>HOA / architectural committee</t>
  </si>
  <si>
    <t>Daily fines; past-due amounts; judicial foreclosure; attorney fees</t>
  </si>
  <si>
    <t>Owners challenged architectural enforcement and fines. The appellate court reversed judgment on the association’s past-due/damages and judicial-foreclosure claims and reversed the attorney-fee award, while affirming other association relief.</t>
  </si>
  <si>
    <t>$100/day maximum fine framework referenced</t>
  </si>
  <si>
    <t>Owner partial appellate victory on collection/foreclosure and attorney fees</t>
  </si>
  <si>
    <t>Martin v. The Landfall Council of Associations, Inc.</t>
  </si>
  <si>
    <t>Fines / Collections / Foreclosure / Attorney Fees / Owner Relief</t>
  </si>
  <si>
    <t>E542</t>
  </si>
  <si>
    <t>Hickory Bluffs Community Services Association</t>
  </si>
  <si>
    <t>Fines; notices; liens; foreclosure</t>
  </si>
  <si>
    <t>The court held purported fines were not properly imposed because the record lacked evidence owners received the required written/mailed notice after the hearing.</t>
  </si>
  <si>
    <t>Owner merits victory on fines; notice defect invalidated fines</t>
  </si>
  <si>
    <t>Bilodeau v. Hickory Bluffs Community Services Association</t>
  </si>
  <si>
    <t>Fines / Liens / Due Process / Owner Win</t>
  </si>
  <si>
    <t>E543</t>
  </si>
  <si>
    <t>Parkway Unit Owners Association</t>
  </si>
  <si>
    <t>Assessment lien; foreclosure; notice</t>
  </si>
  <si>
    <t>The owner challenged an association lien foreclosure, arguing lack of contractual foreclosure authority, statutory limits, and insufficient notice.</t>
  </si>
  <si>
    <t>Court litigation; condominium lien-foreclosure mechanism documented</t>
  </si>
  <si>
    <t>In re Foreclosure of a Lien by Parkway Unit Owners Association against Shaw</t>
  </si>
  <si>
    <t>Collections / Liens / Foreclosure / Due Process</t>
  </si>
  <si>
    <t>E544</t>
  </si>
  <si>
    <t>Wilcrest Walk Townhomes Association</t>
  </si>
  <si>
    <t>Short-term rental restriction; injunction</t>
  </si>
  <si>
    <t>The Texas Supreme Court held neither the deed covenants nor state law authorized the HOA to impose the short-term rental restriction and reversed the injunction.</t>
  </si>
  <si>
    <t>Owner merits victory; unauthorized HOA restriction struck</t>
  </si>
  <si>
    <t>JBrice Holdings, LLC v. Wilcrest Walk Townhomes Association</t>
  </si>
  <si>
    <t>Rule Enforcement / Property Rights / Owner Win</t>
  </si>
  <si>
    <t>E545</t>
  </si>
  <si>
    <t>Park Fort Washington Association</t>
  </si>
  <si>
    <t>Continuing fines; architectural enforcement; attorney fees</t>
  </si>
  <si>
    <t>The trial court vacated a continuing fine, largely ruled for the owners on the architectural dispute, and awarded $112,665 in attorney fees; the appellate court affirmed the fee treatment.</t>
  </si>
  <si>
    <t>$112,665 owner attorney-fee award</t>
  </si>
  <si>
    <t>Owner merits victory with continuing fine vacated and fees awarded</t>
  </si>
  <si>
    <t>Grossman v. Park Fort Washington Association</t>
  </si>
  <si>
    <t>Fines / Architectural Enforcement / Attorney Fees / Owner Win</t>
  </si>
  <si>
    <t>E546</t>
  </si>
  <si>
    <t>Almanor Lakeside Villas Owners Association</t>
  </si>
  <si>
    <t>Short-term rental fines; rule enforcement; attorney fees</t>
  </si>
  <si>
    <t>The HOA sought $19,979.97 in fines/fees. The trial court rejected many fines but upheld $6,620 and still deemed the HOA prevailing, awarding more than $100,000 in attorney fees/costs.</t>
  </si>
  <si>
    <t>$19,979.97 sought; $6,620 upheld; $101,803.15 attorney fees/costs</t>
  </si>
  <si>
    <t>Mixed; owners defeated most fines but HOA prevailed and received large fee award</t>
  </si>
  <si>
    <t>Almanor Lakeside Villas Owners Association v. Carson</t>
  </si>
  <si>
    <t>Fines / Short-Term Rentals / Attorney Fees / Mixed</t>
  </si>
  <si>
    <t>E547</t>
  </si>
  <si>
    <t>Moulton Parkway Residents' Association</t>
  </si>
  <si>
    <t>Records litigation; attorney fees</t>
  </si>
  <si>
    <t>Former board-member plaintiffs lost their underlying Davis-Stirling action as frivolous, but the appellate court reversed the association’s attorney-fee award because the statute allowed costs, not attorney fees, to a prevailing association.</t>
  </si>
  <si>
    <t>Owner/plaintiff partial victory; HOA attorney-fee award reversed</t>
  </si>
  <si>
    <t>Retzloff v. Moulton Parkway Residents' Association</t>
  </si>
  <si>
    <t>Attorney Fees / Records / Owner Relief</t>
  </si>
  <si>
    <t>E548</t>
  </si>
  <si>
    <t>Homeowners association / homeowner</t>
  </si>
  <si>
    <t>HOA / owner</t>
  </si>
  <si>
    <t>Delinquent assessment foreclosure; statutory notice</t>
  </si>
  <si>
    <t>The appellate proceeding examined strict Davis-Stirling statutory prerequisites for HOA assessment foreclosure and homeowner notice protections.</t>
  </si>
  <si>
    <t>Owner-favorable foreclosure-procedure precedent</t>
  </si>
  <si>
    <t>Diamond v. Superior Court</t>
  </si>
  <si>
    <t>Collections / Foreclosure / Due Process / Owner Relief</t>
  </si>
  <si>
    <t>E549</t>
  </si>
  <si>
    <t>California / Federal</t>
  </si>
  <si>
    <t>Verdera Community Association; collection/enforcement defendants</t>
  </si>
  <si>
    <t>HOA / collection defendants</t>
  </si>
  <si>
    <t>FDCPA; Davis-Stirling; elder abuse; foreclosure-related claims</t>
  </si>
  <si>
    <t>An owner’s federal complaint asserted FDCPA, Davis-Stirling, unfair-competition, and elder-abuse claims arising from HOA collection/enforcement. The federal court addressed those claims at dispositive-motion stage.</t>
  </si>
  <si>
    <t>Federal litigation; mixed/dispositive rulings documented</t>
  </si>
  <si>
    <t>Kan v. Verdera Community Association et al.</t>
  </si>
  <si>
    <t>Collections / FDCPA / Davis-Stirling / Litigation</t>
  </si>
  <si>
    <t>E550</t>
  </si>
  <si>
    <t>HOA-related lien parties</t>
  </si>
  <si>
    <t>HOA assessment lien / lender parties</t>
  </si>
  <si>
    <t>Assessment lien; special assessments; interest; attorney fees</t>
  </si>
  <si>
    <t>The court record documents governing provisions making annual and special assessments, interest, costs, and reasonable attorney fees a continuing lien on the lot.</t>
  </si>
  <si>
    <t>Court litigation; assessment-lien and fee mechanism documented</t>
  </si>
  <si>
    <t>Bird Rock Home Mortgage v. Breaking Ground</t>
  </si>
  <si>
    <t>Collections / Special Assessments / Liens / Attorney Fees</t>
  </si>
  <si>
    <t>E551</t>
  </si>
  <si>
    <t>Montana</t>
  </si>
  <si>
    <t>Gallatin West Ranch Homeowners Association</t>
  </si>
  <si>
    <t>Covenant extension; owner vote; continued HOA control</t>
  </si>
  <si>
    <t>The Montana Supreme Court affirmed summary judgment for the property owner, holding the covenants expired because the HOA failed to obtain the required two-thirds vote of all owners to extend them.</t>
  </si>
  <si>
    <t>Property-owner merits victory; expired covenants unenforceable</t>
  </si>
  <si>
    <t>Charlie's Win, LLC v. Gallatin West Ranch Homeowners' Association</t>
  </si>
  <si>
    <t>Governance / Voting / Owner Win</t>
  </si>
  <si>
    <t>E552</t>
  </si>
  <si>
    <t>Bridger Creek Subdivision Community Association</t>
  </si>
  <si>
    <t>Assessments; covenant enforcement; attorney fees</t>
  </si>
  <si>
    <t>The Montana Supreme Court addressed the limited circumstances in which the governing covenants allowed attorney fees, including assessment recovery and owner noncompliance.</t>
  </si>
  <si>
    <t>Court litigation; attorney-fee limits in HOA covenants documented</t>
  </si>
  <si>
    <t>Beebe v. Bridger Creek Subdivision Community Association</t>
  </si>
  <si>
    <t>Assessments / Attorney Fees / Legal Limits</t>
  </si>
  <si>
    <t>E553</t>
  </si>
  <si>
    <t>ArrowCreek Homeowners Association; Nevada Association Services</t>
  </si>
  <si>
    <t>HOA / collection agency</t>
  </si>
  <si>
    <t>Assessment lien; collection agency; mandatory ADR</t>
  </si>
  <si>
    <t>Owners sued to remove an HOA assessment lien and included the association’s collection agency. The Nevada Supreme Court held they first had to use statutory mediation/arbitration and that the requirement also applied to the collection agency acting as HOA agent.</t>
  </si>
  <si>
    <t>Owners lost on procedure; HOA-to-collection-agency mechanism documented</t>
  </si>
  <si>
    <t>Hamm v. ArrowCreek Homeowners Association</t>
  </si>
  <si>
    <t>Collections / Collection Vendor / Liens / ADR / Owner Loss</t>
  </si>
  <si>
    <t>E554</t>
  </si>
  <si>
    <t>Eagle-Air Estates Homeowners Association</t>
  </si>
  <si>
    <t>HOA litigation; prevailing-party attorney fees</t>
  </si>
  <si>
    <t>Prevailing defendants sought $78,430.50 in attorney fees after HOA-related litigation; the trial court awarded $9,744.50 and the appellate case reviewed fee entitlement.</t>
  </si>
  <si>
    <t>$78,430.50 requested; $9,744.50 awarded</t>
  </si>
  <si>
    <t>Owner/defendant prevailing-party fee litigation documented</t>
  </si>
  <si>
    <t>Goodsell v. Eagle-Air Estates Homeowners Association</t>
  </si>
  <si>
    <t>Attorney Fees / HOA Litigation / Owner Relief</t>
  </si>
  <si>
    <t>E555</t>
  </si>
  <si>
    <t>Eagle Crest Estate Homesite Owners Association</t>
  </si>
  <si>
    <t>Application fees; pavement assessment; architectural approval</t>
  </si>
  <si>
    <t>Owners challenged two $825 application processing fees and a $500 pavement assessment, along with denial of building plans. The appellate court remanded the architectural issue but affirmed the HOA’s authority to charge the disputed fees.</t>
  </si>
  <si>
    <t>$825 application fee; $500 pavement assessment</t>
  </si>
  <si>
    <t>Mixed; owners won remand on architectural issue, HOA fee authority affirmed</t>
  </si>
  <si>
    <t>Santoro v. Eagle Crest Estate Homesite Owners Association</t>
  </si>
  <si>
    <t>Fees / Assessments / Architectural Review / Mixed</t>
  </si>
  <si>
    <t>E556</t>
  </si>
  <si>
    <t>Westcliffe Richland Homeowners Association; Westcliffe LLC; developer principals</t>
  </si>
  <si>
    <t>Developer / newly formed HOA</t>
  </si>
  <si>
    <t>DEVELOPER CONTROL + ASSESSMENTS — developer created mandatory HOA after failed owner vote and near-complete sellout</t>
  </si>
  <si>
    <t>The developer tried to create an HOA by owner vote in 2016 but failed to obtain the required vote. After finishing sale of all marketable lots in 2019, it used a reserved unilateral amendment power to create a mandatory HOA, impose assessments enforceable by liens/foreclosure, appoint the initial board, and convey unmarketable tracts to the HOA. Homeowners sued to invalidate the amendment. The trial court ruled for homeowners, but the appellate court reversed because a fact issue remained over whether the developer exercised its amendment power reasonably.</t>
  </si>
  <si>
    <t>Mandatory assessments; $30,000 initial developer funding; lien/foreclosure enforcement authorized</t>
  </si>
  <si>
    <t>Mixed/pending; homeowner trial win reversed for factual determination on reasonableness</t>
  </si>
  <si>
    <t>Riggs et al. v. Westcliffe Richland Homeowners Association et al.</t>
  </si>
  <si>
    <t>Especially relevant to the post-buildout filter: the amendment creating mandatory HOA assessments was recorded after the developer had finished selling all marketable lots. The appellate court did not finally validate the amendment; it remanded the reasonableness issue.</t>
  </si>
  <si>
    <t>E557</t>
  </si>
  <si>
    <t>HOA assessment-lien foreclosure court record</t>
  </si>
  <si>
    <t>Shadow Wood Homeowners Association; HOA foreclosure-sale buyer; New York Community Bancorp</t>
  </si>
  <si>
    <t>HOA / foreclosure-sale parties</t>
  </si>
  <si>
    <t>Assessment lien foreclosure; amount demanded to stop sale; equitable relief</t>
  </si>
  <si>
    <t>A district court set aside an HOA assessment-lien foreclosure sale, finding among other things that the HOA acted unfairly/oppressively by insisting on more than the court believed was required to cancel the sale. The Nevada Supreme Court vacated and remanded, holding factual issues remained over the lien amount, conduct, buyer status, and equities.</t>
  </si>
  <si>
    <t>Underlying mortgage balance about $142,000; assessments $168.71/month</t>
  </si>
  <si>
    <t>Mixed; district court set sale aside, Nevada Supreme Court vacated/remanded for factual issues</t>
  </si>
  <si>
    <t>Shadow Wood Homeowners Association v. New York Community Bancorp</t>
  </si>
  <si>
    <t>Court record documents the specific litigated facts and disposition; inclusion does not imply broader wrongdoing beyond this matter.</t>
  </si>
  <si>
    <t>Collections / HOA Foreclosure / Lien Amount / Mechanism</t>
  </si>
  <si>
    <t>E558</t>
  </si>
  <si>
    <t>Mountain High Homeowners Association</t>
  </si>
  <si>
    <t>HOA / homeowner</t>
  </si>
  <si>
    <t>Assessments; governing documents; attorney fees</t>
  </si>
  <si>
    <t>The homeowner contested whether amended governing documents bound her property and challenged assessment obligations. The HOA obtained declaratory and injunctive relief. The Oregon Court of Appeals affirmed against the homeowner and reversed/remanded only because the HOA may have been entitled to attorney fees.</t>
  </si>
  <si>
    <t>HOA prevailed; additional attorney-fee issue remanded</t>
  </si>
  <si>
    <t>Mountain High Homeowners Association v. Jewett</t>
  </si>
  <si>
    <t>Assessments / Attorney Fees / Owner Loss / Mechanism</t>
  </si>
  <si>
    <t>E559</t>
  </si>
  <si>
    <t>Virginia City Ranches Association</t>
  </si>
  <si>
    <t>HOA / property owners</t>
  </si>
  <si>
    <t>Mandatory membership; assessments; liens</t>
  </si>
  <si>
    <t>Property owners argued the recorded covenants did not make HOA membership mandatory. The Montana Supreme Court agreed: because membership was not compulsory, the association could not compel nonmembers to pay its assessments or place liens on their property.</t>
  </si>
  <si>
    <t>Owner merits victory; compulsory assessments and liens rejected under governing documents</t>
  </si>
  <si>
    <t>Bordas v. Virginia City Ranches Association</t>
  </si>
  <si>
    <t>Assessments / Liens / Membership / Owner Win</t>
  </si>
  <si>
    <t>CASA-126</t>
  </si>
  <si>
    <t>N/A</t>
  </si>
  <si>
    <t>Management, HOA</t>
  </si>
  <si>
    <t>Management-cost market check</t>
  </si>
  <si>
    <t>Management fee exceeded half of total dues; competitive bids were being considered.</t>
  </si>
  <si>
    <t>$50 management fee out of $95 monthly dues</t>
  </si>
  <si>
    <t>Direct cost-comparison concern</t>
  </si>
  <si>
    <t>CASA source record 126</t>
  </si>
  <si>
    <t>CASA-360</t>
  </si>
  <si>
    <t>Management, HOA, Vendor</t>
  </si>
  <si>
    <t>Affiliated vendor / alleged overcharge</t>
  </si>
  <si>
    <t>Reviewer reported that management promoted affiliated contractors, overcharged the association, and did not resolve contractor-caused damage.</t>
  </si>
  <si>
    <t>Allegation / pricing concern</t>
  </si>
  <si>
    <t>CASA source record 360</t>
  </si>
  <si>
    <t>CASA-411</t>
  </si>
  <si>
    <t>Vendor</t>
  </si>
  <si>
    <t>Vendor payments / records access</t>
  </si>
  <si>
    <t>Homeowner questioned contractor relationships and landscaping costs while vendor-payment and financial-record requests went unanswered.</t>
  </si>
  <si>
    <t>Direct records/procurement concern</t>
  </si>
  <si>
    <t>CASA source record 411</t>
  </si>
  <si>
    <t>CASA-474</t>
  </si>
  <si>
    <t>Estimate used without final invoice</t>
  </si>
  <si>
    <t>A $14,000 reimbursement was supported only by an incomplete estimate; homeowner reported no final invoice or permit receipt was produced.</t>
  </si>
  <si>
    <t>$14,000 reimbursement</t>
  </si>
  <si>
    <t>Direct documentation concern</t>
  </si>
  <si>
    <t>CASA source record 474</t>
  </si>
  <si>
    <t>CASA-533</t>
  </si>
  <si>
    <t>External benchmark / price discrepancy</t>
  </si>
  <si>
    <t>Roof assessment was approximately $453,000 while an insurer estimate was $358,000; project-service and contingency charges were also identified.</t>
  </si>
  <si>
    <t>$453,000 vs $358,000; ~$95,000 difference</t>
  </si>
  <si>
    <t>Direct quantified comparison</t>
  </si>
  <si>
    <t>CASA source record 533</t>
  </si>
  <si>
    <t>CASA-556</t>
  </si>
  <si>
    <t>Cost-breakdown withheld</t>
  </si>
  <si>
    <t>Owner requested component costs for a proposed $20 million assessment and reported being told the construction company's cost information was proprietary.</t>
  </si>
  <si>
    <t>~$20M total; ~$200,000 per unit</t>
  </si>
  <si>
    <t>Direct cost-transparency concern</t>
  </si>
  <si>
    <t>CASA source record 556</t>
  </si>
  <si>
    <t>CASA-572</t>
  </si>
  <si>
    <t>Management</t>
  </si>
  <si>
    <t>Inflated-bill allegation</t>
  </si>
  <si>
    <t>Management-company invoice exceeded $3,000 for emergency mitigation work the owner said was not authorized; owner characterized the bill as highly inflated and requested the governing basis.</t>
  </si>
  <si>
    <t>Invoice &gt;$3,000</t>
  </si>
  <si>
    <t>Allegation / billing concern</t>
  </si>
  <si>
    <t>CASA source record 572</t>
  </si>
  <si>
    <t>CASA-65</t>
  </si>
  <si>
    <t>HOA, Vendor, Homeowner</t>
  </si>
  <si>
    <t>Vendor contradiction / charge dispute</t>
  </si>
  <si>
    <t>A $300 cleanup charge was later described differently by the vendor than by the association notice.</t>
  </si>
  <si>
    <t>$300 charge</t>
  </si>
  <si>
    <t>Direct vendor-contradiction evidence</t>
  </si>
  <si>
    <t>CASA source record 65</t>
  </si>
  <si>
    <t>E012</t>
  </si>
  <si>
    <t>Homeowner / board question</t>
  </si>
  <si>
    <t>Additional maintenance markup / disputed contract fee</t>
  </si>
  <si>
    <t>Questioner reports management company charging an additional 10% maintenance fee not found in the management contract.</t>
  </si>
  <si>
    <t>10%</t>
  </si>
  <si>
    <t>Useful allegation lead</t>
  </si>
  <si>
    <t>HOA management Q&amp;A</t>
  </si>
  <si>
    <t>Additional 10% Fee Not in HOA Management Contract</t>
  </si>
  <si>
    <t>Need original supporting documents if available</t>
  </si>
  <si>
    <t>Q&amp;A question is not independently verified.</t>
  </si>
  <si>
    <t>E013</t>
  </si>
  <si>
    <t>Homeowner / association member</t>
  </si>
  <si>
    <t>Unnamed management company / maintenance vendor</t>
  </si>
  <si>
    <t>Management-affiliated maintenance vendor</t>
  </si>
  <si>
    <t>Affiliated vendor pricing / bid-rule avoidance</t>
  </si>
  <si>
    <t>Homeowner said management split a linoleum project into six invoices under a bidding threshold. The homeowner then solicited an independent proposal for the same project.</t>
  </si>
  <si>
    <t>$8,280 association billing vs $3,300 independent proposal; &gt;$5,000 difference</t>
  </si>
  <si>
    <t>Strong quantified first-person allegation</t>
  </si>
  <si>
    <t>Los Angeles Times HOA advice column</t>
  </si>
  <si>
    <t>A maintenance vendor owned by an HOA management company creates an inherent conflict of interest</t>
  </si>
  <si>
    <t>The pricing comparison is first-person. The allegation of misappropriation is the homeowner's characterization, not an independently established finding.</t>
  </si>
  <si>
    <t>E017</t>
  </si>
  <si>
    <t>Homeowner in developer-controlled HOA</t>
  </si>
  <si>
    <t>Unnamed developer board and management company</t>
  </si>
  <si>
    <t>Developer-controlled board / management company</t>
  </si>
  <si>
    <t>Highest bid selected despite lower comparable bids</t>
  </si>
  <si>
    <t>Homeowner said four contractors bid to the same requirements; three clustered together while the developer-controlled board selected the bid more than twice as high. The narrator said management-company bidding showed a similar disparity.</t>
  </si>
  <si>
    <t>Selected contract reportedly &gt;2x competing bids; alleged &gt;$300,000 difference</t>
  </si>
  <si>
    <t>CondoAssociation.com Q&amp;A</t>
  </si>
  <si>
    <t>Developer controls Florida HOA that awards inflated contracts</t>
  </si>
  <si>
    <t>First-person allegation on a Q&amp;A site; underlying bids have not been independently reviewed.</t>
  </si>
  <si>
    <t>E031</t>
  </si>
  <si>
    <t>Homeowner / complainant</t>
  </si>
  <si>
    <t>CSMHOA</t>
  </si>
  <si>
    <t>Management company</t>
  </si>
  <si>
    <t>Management-company overbilling</t>
  </si>
  <si>
    <t>Complaint reposted on Reddit alleged duplicate/incorrect late fees and mailing charges; poster said management acknowledged at least part of the overcharge.</t>
  </si>
  <si>
    <t>$1,395 refund sought in quoted complaint</t>
  </si>
  <si>
    <t>Complaint / secondary repost lead</t>
  </si>
  <si>
    <t>Reddit / BBB complaint repost</t>
  </si>
  <si>
    <t>HOA management companies Suck. Invoiced HOA $330 for online complaint.</t>
  </si>
  <si>
    <t>Secondary repost of a complaint; should be traced to the original BBB record before formal use.</t>
  </si>
  <si>
    <t>E035</t>
  </si>
  <si>
    <t>Homeowner / assessment-vote participant</t>
  </si>
  <si>
    <t>Unnamed HOA / landscaper / property manager</t>
  </si>
  <si>
    <t>HOA vendor contract</t>
  </si>
  <si>
    <t>No market check before dues increase / later renegotiation</t>
  </si>
  <si>
    <t>Homeowner said the board acknowledged it had not sought other landscaping quotes or renegotiated before proposing a dues increase. After owners rejected the increase, the landscaping contract was renegotiated downward.</t>
  </si>
  <si>
    <t>$54,000 shown previously; $45,000 described as negotiated; later ~$30,000, a further ~33% reduction</t>
  </si>
  <si>
    <t>Strong quantified first-person lead</t>
  </si>
  <si>
    <t>HOATalk forum</t>
  </si>
  <si>
    <t>Observer for assessment voting in Texas</t>
  </si>
  <si>
    <t>Narrator reports meeting statements and later board communication; underlying contract is not attached in the search result.</t>
  </si>
  <si>
    <t>E066</t>
  </si>
  <si>
    <t>Condo owners / board disclosure</t>
  </si>
  <si>
    <t>Makaha Surfside condominium; unnamed vendors</t>
  </si>
  <si>
    <t>Condo / vendors</t>
  </si>
  <si>
    <t>Fraudulent vendor invoices for work not performed</t>
  </si>
  <si>
    <t>The board disclosed that association funds appeared to have been embezzled through unauthorized vendor payments supported by fraudulent invoices for work that was never performed.</t>
  </si>
  <si>
    <t>More than $300,000 reported missing</t>
  </si>
  <si>
    <t>Board-disclosed suspected embezzlement</t>
  </si>
  <si>
    <t>Honolulu Civil Beat</t>
  </si>
  <si>
    <t>This Waianae Condo Development Has Lost Hundreds Of Thousands Of Dollars To Embezzlement</t>
  </si>
  <si>
    <t>At publication, association officials had not publicly identified who was responsible; code as discovered fraud/embezzlement mechanism, not attributed guilt.</t>
  </si>
  <si>
    <t>E069</t>
  </si>
  <si>
    <t>Unnamed HOA board / management company / contractor</t>
  </si>
  <si>
    <t>Alleged 10% kickback demanded as condition of contract award</t>
  </si>
  <si>
    <t>Homeowner said a licensed contractor participated in a sting and the HOA president allegedly stated that job approval required a 10% overbid payment. The narrator also alleged the property-management owner was involved.</t>
  </si>
  <si>
    <t>10% alleged overbid/kickback</t>
  </si>
  <si>
    <t>Very strong first-person allegation</t>
  </si>
  <si>
    <t>HOA messed up Big time ADA</t>
  </si>
  <si>
    <t>Unverified first-person allegation; narrator said a recording existed but could not be used because of consent-law concerns.</t>
  </si>
  <si>
    <t>E071</t>
  </si>
  <si>
    <t>Unnamed HOA / mandated HVAC contractor</t>
  </si>
  <si>
    <t>HOA / contractor</t>
  </si>
  <si>
    <t>Owner forced to use contractor at roughly double price</t>
  </si>
  <si>
    <t>Homeowner complained that the HOA said the owner had no authority to choose an HVAC contractor and required use of the community-selected contractor despite the owner's preferred qualified contractor costing about half as much.</t>
  </si>
  <si>
    <t>Required contractor described as ~2x price</t>
  </si>
  <si>
    <t>Strong first-person vendor-restriction complaint</t>
  </si>
  <si>
    <t>HOA forcing me to use an HVAC contractor that’s double the price to install my AC</t>
  </si>
  <si>
    <t>The narrator did not establish a kickback or relationship; include as suspected vendor restriction/financial harm, not proven pay-to-play.</t>
  </si>
  <si>
    <t>E072</t>
  </si>
  <si>
    <t>Unnamed board member / landscaping vendor</t>
  </si>
  <si>
    <t>Board / vendor</t>
  </si>
  <si>
    <t>Personal business relationship and allegedly flawed bid process</t>
  </si>
  <si>
    <t>Homeowner said a new board awarded landscaping to a company with a longstanding personal business relationship to a board member; after obtaining proposals directly from vendors, the homeowner said the RFP process appeared improperly handled.</t>
  </si>
  <si>
    <t>Strong first-person conflict/bid-process allegation</t>
  </si>
  <si>
    <t>Developer turnover landscaping contract and board relationship</t>
  </si>
  <si>
    <t>Narrator suspected benefit but did not establish that the board member received money or that the selected bid was inflated.</t>
  </si>
  <si>
    <t>E073</t>
  </si>
  <si>
    <t>Unnamed HOA board</t>
  </si>
  <si>
    <t>Board / vendors</t>
  </si>
  <si>
    <t>Vendor kickbacks and hidden invoices alleged</t>
  </si>
  <si>
    <t>Homeowner described a board as corrupt and alleged vendor kickbacks, favoritism, hidden invoices and receipts, and efforts by owners to document the conduct and replace the board.</t>
  </si>
  <si>
    <t>First-person homeowner allegation</t>
  </si>
  <si>
    <t>Corrupt and Incompetent board. Now what?</t>
  </si>
  <si>
    <t>Broad allegation with limited transactional detail; retain but rank below quantified/documented cases.</t>
  </si>
  <si>
    <t>E075</t>
  </si>
  <si>
    <t>Homeowner / former board context</t>
  </si>
  <si>
    <t>Unnamed property manager / suppliers</t>
  </si>
  <si>
    <t>Property manager / vendors</t>
  </si>
  <si>
    <t>Suspected supplier overcharging and kickbacks</t>
  </si>
  <si>
    <t>Homeowner said the property manager drove dues upward and there were concerns the manager was charging, and getting suppliers to charge, substantially more than they should have; the poster asked how others had caught kickbacks.</t>
  </si>
  <si>
    <t>First-person suspicion</t>
  </si>
  <si>
    <t>When your property manager is pocketing funds and getting kickbacks</t>
  </si>
  <si>
    <t>Suspicion only; no documented kickback or bid comparison is provided in the visible post.</t>
  </si>
  <si>
    <t>E078</t>
  </si>
  <si>
    <t>Homeowner / concerned resident coalition</t>
  </si>
  <si>
    <t>Chaparral Management</t>
  </si>
  <si>
    <t>Suspected associated vendors / demand for forensic audit and independent bidding</t>
  </si>
  <si>
    <t>Residents organizing around Nottingham Country called for forensic audits independent of Chaparral Management and demanded three bids from companies not associated with Chaparral, along with disclosure of vendor contracts and invoices.</t>
  </si>
  <si>
    <t>Named homeowner coalition suspicion</t>
  </si>
  <si>
    <t>Resident advocacy website</t>
  </si>
  <si>
    <t>Reasons We Need A Forensic Audit</t>
  </si>
  <si>
    <t>Resident allegations/demands, not audit findings. The site expressly says it is not affiliated with the HOA.</t>
  </si>
  <si>
    <t>E079</t>
  </si>
  <si>
    <t>Unnamed developer-controlled HOA; sole board member's company; unnamed property management company</t>
  </si>
  <si>
    <t>Board member company / management company</t>
  </si>
  <si>
    <t>Self-dealing bid award with allegedly inflated competing bids</t>
  </si>
  <si>
    <t>Homeowner said a developer-controlled HOA's sole board member owned a company recommended for a contract by the property manager, while competing bids were allegedly presented inaccurately and inflated by five to six figures.</t>
  </si>
  <si>
    <t>Competing bids allegedly inflated by five to six figures</t>
  </si>
  <si>
    <t>Strong first-person self-dealing allegation</t>
  </si>
  <si>
    <t>Developer-controlled HOA | PMC awarding contracts to board member’s own company</t>
  </si>
  <si>
    <t>Claims about inflated competing bids are allegations in the post; underlying proposals are not available in the search result.</t>
  </si>
  <si>
    <t>E081</t>
  </si>
  <si>
    <t>Condo homeowner</t>
  </si>
  <si>
    <t>Canada</t>
  </si>
  <si>
    <t>Unnamed condo board / service companies</t>
  </si>
  <si>
    <t>Board member allegedly received free work/benefits from vendors</t>
  </si>
  <si>
    <t>Homeowner reported that a board member was said to receive money or benefits from companies doing association work; as an example, the narrator said his windows were replaced for free during a special-assessment project.</t>
  </si>
  <si>
    <t>Free window replacement alleged</t>
  </si>
  <si>
    <t>FHOA: Even the HOA doesn't like Kickback Guy</t>
  </si>
  <si>
    <t>Secondhand allegation within a first-person narrative; no documentation or named vendor is provided.</t>
  </si>
  <si>
    <t>E083</t>
  </si>
  <si>
    <t>Unnamed management company / professional-services vendor</t>
  </si>
  <si>
    <t>Suspected kickback after long-term above-market contract</t>
  </si>
  <si>
    <t>Homeowner said a management-negotiated professional-services contract had cost the HOA more than $250,000 above market rates over roughly a decade and asked whether kickbacks could explain the inflated pricing.</t>
  </si>
  <si>
    <t>More than $250,000 above market rates alleged over ~10 years</t>
  </si>
  <si>
    <t>Strong quantified homeowner suspicion</t>
  </si>
  <si>
    <t>Vendor contracts negotiated by property manager have inflated prices: common?</t>
  </si>
  <si>
    <t>The price disparity is narrator-reported and the kickback is expressly a suspicion, not established fact.</t>
  </si>
  <si>
    <t>E084</t>
  </si>
  <si>
    <t>Unnamed HOA vice president; vice president's longtime friend's landscaping company</t>
  </si>
  <si>
    <t>Board / landscaping vendor</t>
  </si>
  <si>
    <t>Suspected self-dealing and personal benefit after vendor switch</t>
  </si>
  <si>
    <t>Homeowner said the HOA vice president persuaded the board to replace the landscaper with a 30-year friend's company, after which the vice president's own home allegedly received custom landscaping while owners could not obtain proof he paid for it.</t>
  </si>
  <si>
    <t>Strong first-person conflict/fraud suspicion</t>
  </si>
  <si>
    <t>Reddit / legal advice</t>
  </si>
  <si>
    <t>HOA Corruption in Florida. Options?</t>
  </si>
  <si>
    <t>The homeowner suspects HOA funds may have benefited the vice president personally; no proof of payment source is supplied.</t>
  </si>
  <si>
    <t>E086</t>
  </si>
  <si>
    <t>Homeowner reviewing recently disclosed contracts</t>
  </si>
  <si>
    <t>Unnamed developer; developer-owned management company</t>
  </si>
  <si>
    <t>Developer / affiliated management company</t>
  </si>
  <si>
    <t>Developer self-dealing / long-term affiliated management contract</t>
  </si>
  <si>
    <t>Homeowner said documents disclosed in 2026 showed the developer had executed a 20-year HOA management agreement with his own company in 2020 and signed on both sides while no independent homeowner board existed.</t>
  </si>
  <si>
    <t>20-year management agreement</t>
  </si>
  <si>
    <t>Strong first-person documentary self-dealing allegation</t>
  </si>
  <si>
    <t>Buckle up</t>
  </si>
  <si>
    <t>Narrator says attorney communications characterize the arrangement as raising self-dealing/conflict concerns. Underlying agreement should be obtained before publication.</t>
  </si>
  <si>
    <t>E087</t>
  </si>
  <si>
    <t>Third-party narrator reporting condo owner's situation</t>
  </si>
  <si>
    <t>Unnamed HOA president; president's boyfriend's electrical company</t>
  </si>
  <si>
    <t>Board / related-party electrical vendor</t>
  </si>
  <si>
    <t>Romantic relationship / related-party contract and repeated vendor awards</t>
  </si>
  <si>
    <t>Narrator said an HOA president's boyfriend owns the electrical company awarded about $600,000 of work tied to a special assessment and had also performed other electrical 'pet projects' for the association.</t>
  </si>
  <si>
    <t>$600,000 work; $4,000+ special assessment per resident reported</t>
  </si>
  <si>
    <t>Related-party complaint / secondhand narrative</t>
  </si>
  <si>
    <t>HOA President mandating $4000 special assessment fee w/ conflict of interest</t>
  </si>
  <si>
    <t>Narrator describes a boss's condo rather than their own association; relationship and contract need independent confirmation.</t>
  </si>
  <si>
    <t>E094</t>
  </si>
  <si>
    <t>Unnamed management company / vendor</t>
  </si>
  <si>
    <t>Manager negotiated vendor contract while arranging employment with vendor</t>
  </si>
  <si>
    <t>Homeowner/commenter said an HOA board removed its president after learning the property manager had negotiated a vendor contract while also negotiating to leave management and work for that same vendor once the contract took effect.</t>
  </si>
  <si>
    <t>First-person conflict allegation</t>
  </si>
  <si>
    <t>Conflict of interest?</t>
  </si>
  <si>
    <t>The source describes the employment transition as fact from the narrator's community, but no contract or employment records are attached.</t>
  </si>
  <si>
    <t>E096</t>
  </si>
  <si>
    <t>Condo owner selling unit</t>
  </si>
  <si>
    <t>Unnamed HOA; preferred window vendor; HOA general contractor</t>
  </si>
  <si>
    <t>HOA / preferred vendor / general contractor</t>
  </si>
  <si>
    <t>Preferred-vendor restriction plus added cost for outside contractor</t>
  </si>
  <si>
    <t>Owner said the HOA's rules strongly favored a preferred window vendor: using another contractor required engineer review at the owner's expense, supervision by the HOA's general contractor at a hefty hourly rate, and exterior trim could only be handled by the preferred vendor. Owner explicitly suspected a kickback.</t>
  </si>
  <si>
    <t>Hefty hourly supervision charge; exact amount not stated</t>
  </si>
  <si>
    <t>Strong first-person pay-to-play/vendor-restriction suspicion</t>
  </si>
  <si>
    <t>Can my HOA effectively force me to use a specific contractor?</t>
  </si>
  <si>
    <t>The owner expressly suspects a kickback, but none is proven. Some restrictions may have legitimate architectural or building-envelope purposes.</t>
  </si>
  <si>
    <t>E100</t>
  </si>
  <si>
    <t>HOA attorney / homeowner podcast discussion</t>
  </si>
  <si>
    <t>Unnamed HOA management company; board member employed by management company</t>
  </si>
  <si>
    <t>Management company / conflicted board member</t>
  </si>
  <si>
    <t>Board-management employment conflict and possible self-dealing</t>
  </si>
  <si>
    <t>An HOA attorney discussing a homeowner's case described a self-dealing concern where a board member was driving the relationship with a management company while also being employed by that management company.</t>
  </si>
  <si>
    <t>Attorney discussion of homeowner complaint</t>
  </si>
  <si>
    <t>LS Carlson Law</t>
  </si>
  <si>
    <t>Unmasking HOA Fraud: Dealing with Self-Dealing Board Members</t>
  </si>
  <si>
    <t>Attorney identifies a potential conflict/self-dealing issue; the underlying homeowner allegations are not adjudicated facts.</t>
  </si>
  <si>
    <t>E102</t>
  </si>
  <si>
    <t>Homeowner reviewing invoices</t>
  </si>
  <si>
    <t>Unnamed HOA president; unnamed contractors</t>
  </si>
  <si>
    <t>Board president / contractors</t>
  </si>
  <si>
    <t>Alleged invoice padding and personal kickbacks</t>
  </si>
  <si>
    <t>Homeowner said a contractor disclosed that the HOA president had pocketed money from a completed project and planned to profit again from waterproofing. The homeowner reported seeing invoices with sharply different amounts for the same work.</t>
  </si>
  <si>
    <t>$75,000 HOA invoice; $48,000 invoice shown to president; contractor said original quote was $25,000; $18,000 prior and $30,000 future personal profit alleged</t>
  </si>
  <si>
    <t>Very strong quantified first-person allegation with claimed invoice copies</t>
  </si>
  <si>
    <t>What steps to take when HOA president is embezzling funds?</t>
  </si>
  <si>
    <t>Serious allegations; invoice copies and contractor statements are described by the narrator but not independently authenticated here.</t>
  </si>
  <si>
    <t>E106</t>
  </si>
  <si>
    <t>Homeowner / prospective board candidate</t>
  </si>
  <si>
    <t>Unnamed HOA president; towing company</t>
  </si>
  <si>
    <t>Board / towing vendor</t>
  </si>
  <si>
    <t>Side deal with vendor discovered during broader fraud concerns</t>
  </si>
  <si>
    <t>Homeowner said residents discovered the longtime HOA president had a side deal with the towing company while other alleged financial and document irregularities were being uncovered.</t>
  </si>
  <si>
    <t>First-person vendor-side-deal allegation</t>
  </si>
  <si>
    <t>Shady President?! Fraud.</t>
  </si>
  <si>
    <t>The post does not explain the financial terms of the towing-company side deal; retain as a lead rather than verified pay-to-play.</t>
  </si>
  <si>
    <t>E107</t>
  </si>
  <si>
    <t>Massachusetts</t>
  </si>
  <si>
    <t>Unnamed HOA president; unnamed management company; contractor</t>
  </si>
  <si>
    <t>Closed bidding and suspected collusion on massive project</t>
  </si>
  <si>
    <t>Homeowner described a newly elected president replacing longtime management, commissioning a $2.5 million engineering report, then using what the owner called a quick closed bidding process with the new management company to select a contractor, producing an enormous per-unit assessment. The owner suspected collusion based on the president's construction background and management-company reputation.</t>
  </si>
  <si>
    <t>$2.5 million report; nearly $200,000 per unit repairs alleged</t>
  </si>
  <si>
    <t>Strong first-person collusion suspicion</t>
  </si>
  <si>
    <t>Nightmare HOA situation/help?</t>
  </si>
  <si>
    <t>Suspicion only. The post does not establish a kickback, ownership connection, or bid inflation and should remain lower-confidence pending documents.</t>
  </si>
  <si>
    <t>E110</t>
  </si>
  <si>
    <t>Board secretary-treasurer; board member's own property-management company</t>
  </si>
  <si>
    <t>Board / affiliated management company</t>
  </si>
  <si>
    <t>Board member owns management company and is suspected of profiting</t>
  </si>
  <si>
    <t>Homeowner said the longest-serving board member also served as secretary-treasurer and owned the association's property-management company. Another director suspected finances were being mishandled and that he may be profiting from the arrangement.</t>
  </si>
  <si>
    <t>Strong first-person self-dealing suspicion</t>
  </si>
  <si>
    <t>Longest standing HOA board member is also our property manager</t>
  </si>
  <si>
    <t>The ownership overlap is narrator-reported; financial misconduct remains suspicion.</t>
  </si>
  <si>
    <t>E111</t>
  </si>
  <si>
    <t>Homeowner reviewing historical minutes</t>
  </si>
  <si>
    <t>Unnamed HOA president; vendor connected to president</t>
  </si>
  <si>
    <t>Board president / vendor</t>
  </si>
  <si>
    <t>President allegedly paying himself through vendor relationship</t>
  </si>
  <si>
    <t>Homeowner reviewing years of minutes said a retroactive vendor payment and abstention led to discovery that the longtime president appeared financially connected to a vendor while personally controlling contractor walkthroughs, bid solicitation and insurance renewals.</t>
  </si>
  <si>
    <t>$24,000 per-unit insurance assessment context; vendor payment details in source</t>
  </si>
  <si>
    <t>Strong current first-person self-dealing discovery</t>
  </si>
  <si>
    <t>Found out HOA President is paying himself</t>
  </si>
  <si>
    <t>Current 2026 allegation based on minutes and records; underlying vendor/entity records should be preserved before publication.</t>
  </si>
  <si>
    <t>E112</t>
  </si>
  <si>
    <t>Condo owner</t>
  </si>
  <si>
    <t>Unnamed board president / president's contracting operation</t>
  </si>
  <si>
    <t>Board president / contractor</t>
  </si>
  <si>
    <t>President allegedly awards association work to himself at above-market rates</t>
  </si>
  <si>
    <t>Owner complained that the longtime condo president, himself a contractor, received essentially all common-property improvement contracts, either doing the work himself or acting as general contractor, while employing his wife and son and allegedly charging rates well above local construction costs.</t>
  </si>
  <si>
    <t>Public bathroom cited at ~$6,000; son allegedly $40-$50/hour for beach work</t>
  </si>
  <si>
    <t>Strong first-person self-dealing complaint</t>
  </si>
  <si>
    <t>CondoAssociation.com</t>
  </si>
  <si>
    <t>Board controls condo association spending like a crime syndicate</t>
  </si>
  <si>
    <t>Owner allegations only; no independent bid comparison or adjudication is supplied on the page.</t>
  </si>
  <si>
    <t>E113</t>
  </si>
  <si>
    <t>Unnamed condo board / property manager / recurring vendors</t>
  </si>
  <si>
    <t>Board / management / vendors</t>
  </si>
  <si>
    <t>No rebidding for years and suspected personal benefits from entrenched vendors</t>
  </si>
  <si>
    <t>Owner said the board openly admitted it had not rebid contracts for years because it loved incumbent vendors, many of whom were personal friends of directors and the property manager. Fees rose annually, leading the owner to suspect undisclosed personal services or payments were keeping the contracts in place.</t>
  </si>
  <si>
    <t>First-person explicit kickback suspicion</t>
  </si>
  <si>
    <t>Condo association board is too cozy with vendor relationships</t>
  </si>
  <si>
    <t>The narrator explicitly says there is no proof and labels the kickback theory intuition.</t>
  </si>
  <si>
    <t>E114</t>
  </si>
  <si>
    <t>Unnamed board president / contractor</t>
  </si>
  <si>
    <t>Contractor allegedly provides recurring free personal work to president</t>
  </si>
  <si>
    <t>Owner said a contractor doing association work told the vice president and another owner that the president repeatedly demanded 45-60 minutes of extra work in the president's yard; owners sought an investigation and special meeting.</t>
  </si>
  <si>
    <t>45-60 minutes extra personal work repeatedly alleged</t>
  </si>
  <si>
    <t>First-person special-favor complaint</t>
  </si>
  <si>
    <t>Condo association president getting special favors from contractor</t>
  </si>
  <si>
    <t>No monetary value is established; the contractor's statements are reported by the owner.</t>
  </si>
  <si>
    <t>E115</t>
  </si>
  <si>
    <t>Unnamed board / property manager / management company / attorney</t>
  </si>
  <si>
    <t>Owner alleges unnecessary replacement work driven by conflict of interest</t>
  </si>
  <si>
    <t>Owner alleged directors, the property manager, management company and attorney misrepresented the need for replacement work because of a conflict of interest, causing owners to fund unnecessary work that allegedly damaged units.</t>
  </si>
  <si>
    <t>First-person fraud/conflict allegation</t>
  </si>
  <si>
    <t>Owner claims condo directors and manager committed fraud</t>
  </si>
  <si>
    <t>Broad allegation with no named vendor or quantified procurement comparison in the visible source.</t>
  </si>
  <si>
    <t>E116</t>
  </si>
  <si>
    <t>Unnamed board president / vendors / property manager</t>
  </si>
  <si>
    <t>Board / vendors / management</t>
  </si>
  <si>
    <t>Alleged vendor-funded improvements to directors' private units</t>
  </si>
  <si>
    <t>Owner said the president controlled association finances and allegedly gave other directors improvements to their units paid with association money or provided at steep discounts by vendors beholden to her; the property manager allegedly would not provide transaction records.</t>
  </si>
  <si>
    <t>Large reserve sums also alleged missing; exact vendor-benefit amounts unstated</t>
  </si>
  <si>
    <t>Strong first-person special-benefit/fraud allegation</t>
  </si>
  <si>
    <t>How to handle a HOA President suspected of fraud?</t>
  </si>
  <si>
    <t>Unadjudicated homeowner allegations; no underlying invoices are provided.</t>
  </si>
  <si>
    <t>E117</t>
  </si>
  <si>
    <t>Unnamed property management company / board treasurer</t>
  </si>
  <si>
    <t>Management company / board treasurer</t>
  </si>
  <si>
    <t>Possible management-company financial benefit to treasurer</t>
  </si>
  <si>
    <t>Owner received misdelivered mail addressed to the board treasurer referencing a Roth IRA with initials matching the association's property management company and raised concern that management might be providing a financial benefit to the treasurer.</t>
  </si>
  <si>
    <t>First-person bribery suspicion</t>
  </si>
  <si>
    <t>Could property manager be bribing condo association treasurer?</t>
  </si>
  <si>
    <t>Extremely preliminary suspicion based on an envelope; no payment or wrongdoing is established.</t>
  </si>
  <si>
    <t>E118</t>
  </si>
  <si>
    <t>HOA owner / management critic</t>
  </si>
  <si>
    <t>Unnamed property manager / contractor / tree company</t>
  </si>
  <si>
    <t>Suspected kickbacks after manager used HOA contractor personally and questionable tree invoice</t>
  </si>
  <si>
    <t>Owner questioned whether the property manager was receiving kickbacks after the manager used the same contractor at her own home shortly after a major HOA renovation and a tree company was paid $75,000 for trimming 1,000 trees after management had recently said only 500 needed trimming.</t>
  </si>
  <si>
    <t>$75,000 tree payment; 1,000 vs 500 trees</t>
  </si>
  <si>
    <t>Quantified first-person kickback suspicion</t>
  </si>
  <si>
    <t>HOATalk</t>
  </si>
  <si>
    <t>Kickbacks to property manager</t>
  </si>
  <si>
    <t>Other forum participants offered innocent explanations; no kickback is established.</t>
  </si>
  <si>
    <t>E121</t>
  </si>
  <si>
    <t>Homeowner / new board technical reviewer</t>
  </si>
  <si>
    <t>Unnamed former board / contractor</t>
  </si>
  <si>
    <t>Board / contractor</t>
  </si>
  <si>
    <t>Friends allegedly hired at roughly ten times value for defective work</t>
  </si>
  <si>
    <t>After the prior board was removed, a technically experienced owner asked to audit a malfunctioning access-control system concluded the old board had hired friends as contractors, allegedly spending about $200,000 on work the narrator valued at roughly $5,000-$10,000.</t>
  </si>
  <si>
    <t>$200,000 paid vs estimated $5,000-$10,000 value</t>
  </si>
  <si>
    <t>Very strong quantified first-person fraud suspicion</t>
  </si>
  <si>
    <t>Ex-HOA board hired friends as contractors for 10x the price and didn't deliver working goods</t>
  </si>
  <si>
    <t>Narrator's valuation and theory that an ex-board member created the vendor are not independently verified.</t>
  </si>
  <si>
    <t>E123</t>
  </si>
  <si>
    <t>Unnamed management company / cable provider</t>
  </si>
  <si>
    <t>Management company / cable vendor</t>
  </si>
  <si>
    <t>Alleged $250K kickback tied to 12-year bulk cable contract</t>
  </si>
  <si>
    <t>Homeowner said a nearly 1,000-home HOA approved a 12-year bundled cable/internet contract with very few votes and alleged the management company was partnered with the cable company and received $250,000 from the deal.</t>
  </si>
  <si>
    <t>$250,000 alleged kickback; 12-year contract</t>
  </si>
  <si>
    <t>Very strong quantified first-person pay-to-play allegation</t>
  </si>
  <si>
    <t>Always keep an eye on management companies</t>
  </si>
  <si>
    <t>High-value verification lead</t>
  </si>
  <si>
    <t>Serious allegation without named companies or attached contract. Needs independent documentary corroboration before publication as fact.</t>
  </si>
  <si>
    <t>E128</t>
  </si>
  <si>
    <t>Condo owner / reviewer</t>
  </si>
  <si>
    <t>FirstService Residential Illinois</t>
  </si>
  <si>
    <t>Public review alleges undisclosed vendor kickbacks</t>
  </si>
  <si>
    <t>A BBB reviewer alleged that the management company used vendors and received undisclosed kickbacks, along with other governance complaints.</t>
  </si>
  <si>
    <t>Named-company public complaint</t>
  </si>
  <si>
    <t>Better Business Bureau</t>
  </si>
  <si>
    <t>FirstService Residential Illinois customer reviews</t>
  </si>
  <si>
    <t>Unverified customer allegation. Company name is included because the reviewer expressly named the reviewed company; do not state the kickback as fact.</t>
  </si>
  <si>
    <t>E129</t>
  </si>
  <si>
    <t>FirstService Residential</t>
  </si>
  <si>
    <t>Reviewer alleges unnecessary contractor work driven by kickbacks</t>
  </si>
  <si>
    <t>A Trustpilot reviewer alleged that FirstService Residential repeatedly hired contractors for unnecessary work because of kickbacks, passing the resulting costs to owners through special assessments.</t>
  </si>
  <si>
    <t>Trustpilot</t>
  </si>
  <si>
    <t>FirstService Residential reviews</t>
  </si>
  <si>
    <t>Unverified consumer-review allegation; no supporting contracts or invoices are supplied.</t>
  </si>
  <si>
    <t>E141</t>
  </si>
  <si>
    <t>HOA owner / current complaint</t>
  </si>
  <si>
    <t>Unnamed board member / insurance firm</t>
  </si>
  <si>
    <t>Board member / insurance vendor</t>
  </si>
  <si>
    <t>INSURANCE — Board member financially connected to HOA insurance provider</t>
  </si>
  <si>
    <t>Owner discovered that a director was a partner in an insurance firm specializing in HOA insurance and requested all policies, invoices, proposals and competing bids to determine whether the director's firm was receiving association business.</t>
  </si>
  <si>
    <t>Current first-person related-party procurement suspicion</t>
  </si>
  <si>
    <t>HOA board member profiting from HOA</t>
  </si>
  <si>
    <t>The search result establishes the board member's alleged insurance-firm connection and owner's investigation, not that the firm actually received HOA payments.</t>
  </si>
  <si>
    <t>Insurance</t>
  </si>
  <si>
    <t>E143</t>
  </si>
  <si>
    <t>Homeowner / association participant</t>
  </si>
  <si>
    <t>Unnamed board president; president's sons; family landscaping company</t>
  </si>
  <si>
    <t>Board / related-party vendors</t>
  </si>
  <si>
    <t>President repeatedly uses sons and family landscaping vendor without competitive process</t>
  </si>
  <si>
    <t>Owner said the board president repeatedly hired her sons for maintenance and repairs, took the checkbook and wrote a check to a son under an emergency/spending-limit rationale, while a family member's landscaping company consumed about half the association budget.</t>
  </si>
  <si>
    <t>Landscaping services ~52% of entire budget; son payment just under $500 example</t>
  </si>
  <si>
    <t>Strong first-person related-party procurement complaint</t>
  </si>
  <si>
    <t>Board President using family members as vendors</t>
  </si>
  <si>
    <t>No kickback or inflated-price comparison is proven, but repeated related-party contracting without ordinary competitive process meets self-dealing suspicion criterion.</t>
  </si>
  <si>
    <t>E146</t>
  </si>
  <si>
    <t>Homeowner / owner coalition</t>
  </si>
  <si>
    <t>Unnamed HOA officers; Palm Beach Builders Corp.; Woodstock Funding LLC</t>
  </si>
  <si>
    <t>HOA officers / allegedly affiliated roofing and lending companies</t>
  </si>
  <si>
    <t>Owners allege affiliated roofing/lending scheme with enormous inflated assessment</t>
  </si>
  <si>
    <t>Florida court filing alleges HOA officers used their own roofing and lending entities to impose a $3M roofing loan/assessment despite allegedly declaring repair costs of roughly $486,000 to local government, with the pleading alleging kickbacks and embezzlement.</t>
  </si>
  <si>
    <t>$3M loan plus 8% interest vs ~$486,000 alleged repair cost; ~$2.5M alleged difference</t>
  </si>
  <si>
    <t>Court-filed homeowner allegation</t>
  </si>
  <si>
    <t>Florida court filing</t>
  </si>
  <si>
    <t>Appellants' filing - Palm Beach roofing/lending allegations</t>
  </si>
  <si>
    <t>These are allegations made by litigants in a court filing, not judicial findings. Company ownership and cost figures require independent verification.</t>
  </si>
  <si>
    <t>E158</t>
  </si>
  <si>
    <t>Condo owner / discussion participant</t>
  </si>
  <si>
    <t>Unnamed property management firm / sponsor</t>
  </si>
  <si>
    <t>Managing agent / sponsor</t>
  </si>
  <si>
    <t>Owner reports managing-agent kickbacks, cross-building fund manipulation and double ledgers</t>
  </si>
  <si>
    <t>A condo owner said the managing agent received kickbacks from a sponsor and manipulated maintenance credits and funds across multiple buildings, with double ledgers used to conceal the activity; a former employee later allegedly confirmed the practice.</t>
  </si>
  <si>
    <t>Detailed first-person historical fraud allegation</t>
  </si>
  <si>
    <t>StreetEasy</t>
  </si>
  <si>
    <t>Misappropriation of condo maintenance money</t>
  </si>
  <si>
    <t>Anonymous forum allegation; no named management firm or underlying records are supplied.</t>
  </si>
  <si>
    <t>E159</t>
  </si>
  <si>
    <t>Unnamed board president / board friends</t>
  </si>
  <si>
    <t>Board / self-dealing vendor role</t>
  </si>
  <si>
    <t>President paid by association as property manager with friendly board approval</t>
  </si>
  <si>
    <t>Owner said a board president who was a real estate salesperson was hired by her three board friends to act as property manager for an association-owned foreclosed unit, raising concerns over payments to a director acting as vendor.</t>
  </si>
  <si>
    <t>First-person self-dealing complaint</t>
  </si>
  <si>
    <t>Los Angeles Times</t>
  </si>
  <si>
    <t>Hiring a board member as a vendor is not good business for an HOA</t>
  </si>
  <si>
    <t>The article explains such transactions can be lawful with proper conflict procedures; no fraud is established.</t>
  </si>
  <si>
    <t>E176</t>
  </si>
  <si>
    <t>Homeowners / residents who reviewed books</t>
  </si>
  <si>
    <t>Blue on the Bay Condominium; Ben Dvir; tile vendor; Jadore Cosmetic LLC</t>
  </si>
  <si>
    <t>Board president / vendor / related company</t>
  </si>
  <si>
    <t>Residents' book review helped uncover inflated vendor invoices and alleged kickback</t>
  </si>
  <si>
    <t>Residents concerned about possible embezzlement worked with a property-owner consultant for roughly two years analyzing association books. Police later alleged former president Ben Dvir had a tile vendor inflate invoices and funnel the markup through a cosmetics company owned by his mother-in-law.</t>
  </si>
  <si>
    <t>Nearly $33,000 alleged kickback</t>
  </si>
  <si>
    <t>Law-enforcement-backed allegation discovered through homeowner financial review</t>
  </si>
  <si>
    <t>CBS Miami</t>
  </si>
  <si>
    <t>Former condo association president accused of getting $33,000 kickback</t>
  </si>
  <si>
    <t>High-priority case-family corroboration</t>
  </si>
  <si>
    <t>Same Blue Condominium incident already represented elsewhere. Retain because this source documents the homeowner discovery path, but do not count it as another underlying incident.</t>
  </si>
  <si>
    <t>E185</t>
  </si>
  <si>
    <t>HOA homeowner / resident</t>
  </si>
  <si>
    <t>Unnamed HOA president and treasurer; friends/contractors</t>
  </si>
  <si>
    <t>Board leadership / favored vendors</t>
  </si>
  <si>
    <t>Residents provide quotes below half the board's chosen pricing while alleging friends, kickbacks and siphoned funds</t>
  </si>
  <si>
    <t>A Florida homeowner said residents had collected documents concerning missing money and fiduciary breaches, that the board repeatedly failed to obtain more than one bid, and that resident-provided alternative quotes at less than half the price were ignored. The narrator also alleged evidence of hiring friends, receiving kickbacks and money moving into board-member accounts.</t>
  </si>
  <si>
    <t>Alternative quotes reportedly less than half the selected pricing; $1.2M managed by board; costs reportedly up 40%</t>
  </si>
  <si>
    <t>Strong first-person quantified pay-to-play / bid suppression allegation</t>
  </si>
  <si>
    <t>Removing Board Member</t>
  </si>
  <si>
    <t>Serious homeowner allegations; documents are claimed but not attached in the indexed source. Treat kickbacks and diversion as allegations unless independently verified.</t>
  </si>
  <si>
    <t>E195</t>
  </si>
  <si>
    <t>Property owner / investor</t>
  </si>
  <si>
    <t>Unnamed property manager; preferred vendor</t>
  </si>
  <si>
    <t>Property manager / preferred vendor</t>
  </si>
  <si>
    <t>Owner discovers $500 markup between preferred vendor quote and amount presented by manager</t>
  </si>
  <si>
    <t>An owner said the property manager reported a preferred vendor's repair cost as $2,500 and would not provide the vendor's contact information. The owner independently reached the same vendor and was told the quote had actually been $2,000.</t>
  </si>
  <si>
    <t>$2,500 presented vs $2,000 vendor quote; $500 difference / 25% markup on vendor quote</t>
  </si>
  <si>
    <t>Quantified first-person hidden-markup complaint</t>
  </si>
  <si>
    <t>BiggerPockets</t>
  </si>
  <si>
    <t>Vendor Upcharge by Property Manager</t>
  </si>
  <si>
    <t>This concerns rental property management rather than an identified HOA/condo association. Keep analytically separated if the final study is restricted strictly to community associations.</t>
  </si>
  <si>
    <t>E199</t>
  </si>
  <si>
    <t>HOA homeowner</t>
  </si>
  <si>
    <t>Unnamed management company; HOA insurance broker</t>
  </si>
  <si>
    <t>Management company / insurance procurement</t>
  </si>
  <si>
    <t>INSURANCE — Insurance more than doubles while owners are denied competing quotes and policy documents</t>
  </si>
  <si>
    <t>A homeowner said townhouse insurance more than doubled in one year and that requests for competing quotes and current/older policy documents were refused, leaving owners unable to verify whether the board or management had competitively shopped coverage.</t>
  </si>
  <si>
    <t>Premium more than doubled; exact dollar amount not stated</t>
  </si>
  <si>
    <t>First-person insurance transparency / competition complaint</t>
  </si>
  <si>
    <t>HOA won't share Insurance policy</t>
  </si>
  <si>
    <t>No commission sharing or steering is established. Included because owners specifically sought competing insurance quotes and were denied the records needed to assess procurement.</t>
  </si>
  <si>
    <t>E210</t>
  </si>
  <si>
    <t>Condominium owner / board critic</t>
  </si>
  <si>
    <t>Unnamed management company; one insurance broker</t>
  </si>
  <si>
    <t>Management company / insurance broker</t>
  </si>
  <si>
    <t>INSURANCE — Management company places roughly 80 communities through one broker and discourages independent comparisons</t>
  </si>
  <si>
    <t>A Texas condominium participant said the bookkeeping management company had approximately 80 communities under a single insurance arrangement with one broker and told the association it was wasting time seeking comparisons because management had already researched the market. The owner raised concern about the size of broker commissions and the lack of each association having its own broker.</t>
  </si>
  <si>
    <t>Approximately 80 communities alleged; commission amount not stated</t>
  </si>
  <si>
    <t>Detailed first-person insurance concentration / shopping concern</t>
  </si>
  <si>
    <t>Property manager misinforming</t>
  </si>
  <si>
    <t>High-value insurance lead</t>
  </si>
  <si>
    <t>No commission sharing or kickback is established. The source is useful for the concentration and discouragement-of-independent-shopping mechanism.</t>
  </si>
  <si>
    <t>E211</t>
  </si>
  <si>
    <t>Unnamed HOA board member; insurance broker</t>
  </si>
  <si>
    <t>Board / insurance broker</t>
  </si>
  <si>
    <t>INSURANCE — Owner suspects personal board-broker relationship influenced insurance package and broker compensation</t>
  </si>
  <si>
    <t>A New Jersey homeowner said HOA fees were increasing significantly because of an insurance adjustment but owners were not given access to insurance bids/options. The homeowner specifically worried that a personal relationship between a board member and the insurance broker could mean the broker earned more from the package selected.</t>
  </si>
  <si>
    <t>First-person insurance conflict / commission concern</t>
  </si>
  <si>
    <t>HOAManagement.com</t>
  </si>
  <si>
    <t>Disclosing Bids for Insurance Vendors</t>
  </si>
  <si>
    <t>Candidate for insurance lane</t>
  </si>
  <si>
    <t>No improper compensation is established. The published answer notes that a personal relationship could present a conflict requiring recusal, depending on applicable rules.</t>
  </si>
  <si>
    <t>E212</t>
  </si>
  <si>
    <t>Unnamed board member / HOA insurance broker</t>
  </si>
  <si>
    <t>Board member / insurance broker</t>
  </si>
  <si>
    <t>INSURANCE — Homeowner says HOA's insurance broker also sits on board and profits from association policy</t>
  </si>
  <si>
    <t>A homeowner complained that the association's insurance broker was simultaneously a member of the HOA board and made money from the association's policy, describing the arrangement as a conflict of interest and saying the board was not obtaining competing bids.</t>
  </si>
  <si>
    <t>First-person related-party insurance procurement complaint</t>
  </si>
  <si>
    <t>Our insurance broker is on the board of our HOA</t>
  </si>
  <si>
    <t>Anonymous homeowner allegation. Board membership, broker role, compensation and bidding practices require independent verification before being stated as fact.</t>
  </si>
  <si>
    <t>E223</t>
  </si>
  <si>
    <t>FirstService Residential; unnamed balcony-inspection vendor</t>
  </si>
  <si>
    <t>Management company / management-recommended vendor</t>
  </si>
  <si>
    <t>Residents obtain licensed-engineer second opinion after management-recommended vendor says all 84 balconies need replacement</t>
  </si>
  <si>
    <t>A Minnesota condo homeowner alleged FirstService Residential pushed the board to hire a vendor that was not a licensed structural engineer; that vendor reportedly said all 84 balconies needed replacement. After residents pushed for a second opinion, a licensed engineer concluded most balconies were structurally sound and required only targeted repairs. The homeowner said the original course created lending restrictions and alleged the company's guidance benefited its bottom line.</t>
  </si>
  <si>
    <t>84 balconies initially recommended for replacement; second opinion found most needed targeted repairs; exact dollar difference not stated</t>
  </si>
  <si>
    <t>Named-company first-person complaint with independent second-opinion outcome</t>
  </si>
  <si>
    <t>Reddit / HOA</t>
  </si>
  <si>
    <t>FirstService Residential - Predatory management</t>
  </si>
  <si>
    <t>The homeowner's financial-benefit theory is an allegation. The source supports that a second licensed-engineer opinion materially narrowed the repair scope; it does not establish a kickback or why the first vendor reached its conclusion.</t>
  </si>
  <si>
    <t>E226</t>
  </si>
  <si>
    <t>HOA/condo reader complaint relayed to industry attorneys</t>
  </si>
  <si>
    <t>Unnamed HOA insurance broker</t>
  </si>
  <si>
    <t>Insurance broker</t>
  </si>
  <si>
    <t>INSURANCE — Broker tells association shopping other quotes is unethical and could jeopardize current coverage</t>
  </si>
  <si>
    <t>An HOAleader reader said the association's insurance agent told them that obtaining other quotes would be unethical and could jeopardize the association's chances of coverage through current carriers. The owner believed the agent was preventing meaningful shopping. A Florida community-association attorney responding to the complaint said associations are free to change designated agents and noted that broker commissions can affect pricing.</t>
  </si>
  <si>
    <t>First-person insurance-shopping restriction complaint with attorney analysis</t>
  </si>
  <si>
    <t>HOALeader</t>
  </si>
  <si>
    <t>Condo/HOA Wonders If This Insurance Broker is On the Up and Up</t>
  </si>
  <si>
    <t>High-priority insurance lead</t>
  </si>
  <si>
    <t>The source does not establish broker misconduct or a hidden commission. It directly documents an owner complaint that the broker discouraged competitive shopping and expert concern about the practice.</t>
  </si>
  <si>
    <t>E229</t>
  </si>
  <si>
    <t>Unnamed HOA board; unnamed sprinkler contractor</t>
  </si>
  <si>
    <t>Board awards $158,000 sprinkler project while homeowner obtains same-scope bids under $13,000</t>
  </si>
  <si>
    <t>A Texas homeowner said the board awarded approximately $158,000 to replace/repair irrigation across 13 landscaped zones but would not produce the competing bids it claimed to have obtained. The homeowner independently sought bids using the winning contractor's specifications and reported quotes of $13,000, $11,100 and $9,750.</t>
  </si>
  <si>
    <t>$158,000 selected price vs $13,000 / $11,100 / $9,750 independent bids</t>
  </si>
  <si>
    <t>Extraordinary quantified first-person bid-disparity / possible embezzlement complaint</t>
  </si>
  <si>
    <t>HOA possible embezzlement</t>
  </si>
  <si>
    <t>No kickback or embezzlement is proven. The magnitude of the price disparity and alleged absence of supporting competing bids make this a strong independent-market-test complaint.</t>
  </si>
  <si>
    <t>E232</t>
  </si>
  <si>
    <t>Condo/HOA homeowner</t>
  </si>
  <si>
    <t>Unnamed board member; board-member-owned construction company</t>
  </si>
  <si>
    <t>Board member / board-member-owned contractor</t>
  </si>
  <si>
    <t>Homeowner alleges board member's construction company repeatedly wins association projects benefiting units the director owns</t>
  </si>
  <si>
    <t>A homeowner said a board member owned multiple units and also owned the construction company that repeatedly won association projects. The homeowner alleged reserve funds were heavily used to patch and paint units including those owned by the director, followed by additional assessments for remaining work.</t>
  </si>
  <si>
    <t>$500 per-unit follow-up charge and later $2,500 special assessment described</t>
  </si>
  <si>
    <t>First-person related-party contractor / self-dealing suspicion</t>
  </si>
  <si>
    <t>Reddit / fuckHOA</t>
  </si>
  <si>
    <t>HOA loves making it hard as possible to attend meetings</t>
  </si>
  <si>
    <t>No bid documents or proof of improper selection are supplied. Included because the homeowner alleges a direct ownership relationship between a director and the repeatedly selected construction vendor.</t>
  </si>
  <si>
    <t>E235</t>
  </si>
  <si>
    <t>Unnamed management company; maintenance contractor</t>
  </si>
  <si>
    <t>New board president suspects management and maintenance contractor embezzlement after years without board oversight</t>
  </si>
  <si>
    <t>A newly organized HOA board president said the management company had effectively run a 23-unit association without a board for nearly two years while roughly $30,000 per year was reported as maintenance spending even as the property deteriorated. The president suspected the management company was embezzling money with the contractor used for maintenance.</t>
  </si>
  <si>
    <t>About $30,000 per year in reported maintenance repairs</t>
  </si>
  <si>
    <t>First-person post-oversight management/contractor fraud suspicion</t>
  </si>
  <si>
    <t>HOA management company possibly embezzling</t>
  </si>
  <si>
    <t>No proof of collusion, kickbacks or inflated invoices is provided. Retain as a concrete management-contractor suspicion arising after new board oversight and unexplained maintenance spending.</t>
  </si>
  <si>
    <t>E238</t>
  </si>
  <si>
    <t>Unnamed HOA president; president-owned management LLC</t>
  </si>
  <si>
    <t>Board president / president-owned management company</t>
  </si>
  <si>
    <t>President creates management company and seeks HOA contract at more than twice incumbent cost</t>
  </si>
  <si>
    <t>A Florida homeowner said the HOA president created his own community-management LLC and planned to bid for the association's management contract while remaining board president. The homeowner reported the president's estimated bid was more than twice the cost of the existing management contract and expected the board would still select it.</t>
  </si>
  <si>
    <t>President-owned management bid alleged at more than 2× incumbent contract cost</t>
  </si>
  <si>
    <t>First-person related-party management-contract / self-dealing concern</t>
  </si>
  <si>
    <t>HOA president wants to use his own management company</t>
  </si>
  <si>
    <t>High-priority related-party complaint</t>
  </si>
  <si>
    <t>No fraud is proven and the president reportedly intended not to vote. Included because the proposed related-party contract was allegedly more than twice the incumbent cost while the bidder remained board president.</t>
  </si>
  <si>
    <t>E242</t>
  </si>
  <si>
    <t>Unnamed contractor / newly elected HOA president</t>
  </si>
  <si>
    <t>Board president / incumbent HOA contractor</t>
  </si>
  <si>
    <t>Existing HOA contractor is elected board president, creating direct vendor-governance conflict</t>
  </si>
  <si>
    <t>A California homeowner reported that a contractor already providing handyman and construction services to the association was elected president of the HOA board. The homeowner questioned the conflict created when the person governing vendor decisions was simultaneously earning money as an association contractor.</t>
  </si>
  <si>
    <t>First-person vendor-to-board conflict complaint</t>
  </si>
  <si>
    <t>Is it a conflict to be an HOA vendor and board member?</t>
  </si>
  <si>
    <t>Candidate / related-party lane</t>
  </si>
  <si>
    <t>No allegation of inflated pricing, bid manipulation or kickback is established. Included as a direct governance/vendor overlap that could affect procurement decisions.</t>
  </si>
  <si>
    <t>E263</t>
  </si>
  <si>
    <t>Condo owner / construction-industry participant</t>
  </si>
  <si>
    <t>Unnamed condominium; unnamed HOA management; unnamed plumbing/repair contractor</t>
  </si>
  <si>
    <t>Management company / contractor / repair invoicing</t>
  </si>
  <si>
    <t>PROCUREMENT — 25% contractor overhead/profit markup questioned; owner suspects management-contractor problem</t>
  </si>
  <si>
    <t>A California condo owner who said they work in construction challenged an $11,000 plumbing-related charge and highlighted a 25% 'Overhead &amp; Profit' markup of $1,932. The owner said similar contractor invoices raised concerns about the relationship between HOA management and the contractor and questioned why the board was not requiring more detailed invoices.</t>
  </si>
  <si>
    <t>$1,932 markup identified as 25% Overhead &amp; Profit on the disputed invoice; total charge about $11,000</t>
  </si>
  <si>
    <t>First-person homeowner complaint with specific invoice figures</t>
  </si>
  <si>
    <t>Reddit / r/HOA</t>
  </si>
  <si>
    <t>[CA] [Condo] HOA is trying to fine me $11k for a shared pipe clog and 'garbage juice.' Their evidence is a mess. Advice?</t>
  </si>
  <si>
    <t>Complaint-level invoice/pricing record</t>
  </si>
  <si>
    <t>No kickback or improper relationship is proven. Other participants noted emergency work can legitimately cost more. Included because the owner supplied a specific markup figure, described repeated similar invoices, and expressly questioned management/contractor procurement and invoice review.</t>
  </si>
  <si>
    <t>E264</t>
  </si>
  <si>
    <t>Condo owner / first-person financing complaint</t>
  </si>
  <si>
    <t>Unnamed 45-year-old condominium; Associa; unnamed lenders/banks/credit unions</t>
  </si>
  <si>
    <t>Board / Associa management / association financing / prospective lenders</t>
  </si>
  <si>
    <t>FINANCING — owners forced into long-term HOA loan with no upfront-payment or prepayment option</t>
  </si>
  <si>
    <t>A condo owner said a major repiping project was estimated at about $35,000 per unit and owners ratified an HOA loan. The owner said the board and Associa management rejected an option for owners to pay their share upfront and also said there would be no loan prepayment option. The poster emphasized that this position had been decided while the association was still talking to potential lenders.</t>
  </si>
  <si>
    <t>Example discussed: $35,000 principal over 20 years at 7%, producing roughly $30,000 interest per owner</t>
  </si>
  <si>
    <t>First-person homeowner complaint / board-and-management financing process</t>
  </si>
  <si>
    <t>[HI] [Condo] Forced to participate in HOA loan</t>
  </si>
  <si>
    <t>High-value complaint-level financing/governance record; LARGE MANAGEMENT COMPANY</t>
  </si>
  <si>
    <t>No evidence in the source that Associa or anyone else received compensation from the loan. The significance is governance and financing structure: management and board reportedly rejected upfront payment and prepayment before lender selection was complete. The owner identified the management company as Associa.</t>
  </si>
  <si>
    <t>E273</t>
  </si>
  <si>
    <t>Homeowner / Board-reported</t>
  </si>
  <si>
    <t>Condo owner relaying board investigation findings</t>
  </si>
  <si>
    <t>Unnamed condominium; terminated unnamed management company; county recertification authorities</t>
  </si>
  <si>
    <t>Management company / statutory recertification administration / association finances</t>
  </si>
  <si>
    <t>BAD PRACTICE / GOVERNANCE COST — alleged management failure caused approximately $55,000 in liens and penalties</t>
  </si>
  <si>
    <t>A Florida condominium owner said the board terminated its management company after what the board described as significant management deficiencies. According to the owner, the board concluded management failed to timely process or submit required 40-Year Recertification reports and failed to seek extensions, resulting in approximately $55,000 in liens, penalties and related costs that owners were then being asked to absorb.</t>
  </si>
  <si>
    <t>Approximately $55,000 in reported liens, penalties and related costs</t>
  </si>
  <si>
    <t>First-person homeowner complaint relaying board-investigation conclusion</t>
  </si>
  <si>
    <t>HOA homeowners being charged for liens allegedly caused by management company negligence — is this normal? [FL] [condo]</t>
  </si>
  <si>
    <t>Complaint-level management-performance / owner-cost record</t>
  </si>
  <si>
    <t>This is not an adjudicated negligence finding. The poster attributes the conclusion to the board's investigation, but the management company and condominium are unnamed and supporting board documents are not attached. Included because it reports a specific management failure, quantified owner cost and termination of management.</t>
  </si>
  <si>
    <t>E274</t>
  </si>
  <si>
    <t>HOA owner / special-assessment concern</t>
  </si>
  <si>
    <t>Unnamed HOA; unnamed property manager / management company</t>
  </si>
  <si>
    <t>Property manager / major capital project / special assessment</t>
  </si>
  <si>
    <t>FINANCING / PROJECT INCENTIVE — owner questions manager commission after aggressive push for $90,000 special assessment</t>
  </si>
  <si>
    <t>An HOA owner questioned whether the property manager or management company could earn a commission or project-management fee after describing the manager as very pushy about passing a $90,000 special assessment for asphalt work, costing owners about $2,500 each. Other industry participants in the discussion said management contracts sometimes include extra fees for major projects, although no compensation arrangement was established for this HOA.</t>
  </si>
  <si>
    <t>$90,000 special assessment; about $2,500 per owner</t>
  </si>
  <si>
    <t>First-person homeowner suspicion / industry-participant mechanism discussion</t>
  </si>
  <si>
    <t>Complaint-level project-management incentive question</t>
  </si>
  <si>
    <t>No commission, kickback or financial benefit was proven or even confirmed for the manager in this HOA. Included strictly as a homeowner concern about incentive alignment surrounding a large special assessment, supported only by general discussion that some management contracts charge separate major-project fees.</t>
  </si>
  <si>
    <t>E277</t>
  </si>
  <si>
    <t>Homeowner / Media Investigation</t>
  </si>
  <si>
    <t>Homeowners / developer facility-fee dispute</t>
  </si>
  <si>
    <t>Stonebridge-area homeowners; Braesael Management Company; True Homes; Stonebridge associations</t>
  </si>
  <si>
    <t>Management company collecting developer-owned amenity fees / homeowners / developer</t>
  </si>
  <si>
    <t>FEES / CONTROL — amenity charges presented as mandatory HOA assessments despite facilities being developer-owned</t>
  </si>
  <si>
    <t>A WCNC investigation reported homeowners were billed more than $1,400 in initiation and recurring amenity charges tied to facilities they said they did not use or own through their HOA. Braesael Management had sent collection communications invoking HOA rules and potential collection consequences. True Homes later acknowledged correspondence had incorrectly blurred optional facility-use charges with HOA dues, and more than 200 homeowners were later offered an opt-out.</t>
  </si>
  <si>
    <t>More than $1,400 described for some homeowners, including a $1,000 initiation fee; 200+ homeowners later offered opt-out</t>
  </si>
  <si>
    <t>Homeowner complaints / local investigative reporting / developer correction</t>
  </si>
  <si>
    <t>WCNC Charlotte</t>
  </si>
  <si>
    <t>Homeowners billed for amenities they don't own, don't want</t>
  </si>
  <si>
    <t>High-value management fee/control bad-practice record</t>
  </si>
  <si>
    <t>True Homes said the facilities were privately owned and acknowledged that letters suggesting the charges were HOA obligations were sent mistakenly. This is not a fraud finding. The research relevance is management's role in collection communications that homeowners understood as mandatory HOA assessments.</t>
  </si>
  <si>
    <t>Fees / Governance / Management Bad Practices</t>
  </si>
  <si>
    <t>E282</t>
  </si>
  <si>
    <t>Townhome owner describing prior board and manager project</t>
  </si>
  <si>
    <t>Unnamed townhome association; unnamed property manager; unnamed deck/siding contractor</t>
  </si>
  <si>
    <t>Property manager / board / major capital-project vendor / HOA loan and special assessment</t>
  </si>
  <si>
    <t>PROJECT COST + FINANCING — prior $150,000 deck work allegedly failed to address structure; new assessment/loan and suspected manager kickback</t>
  </si>
  <si>
    <t>A townhome owner said the association paid approximately $150,000 about eight years earlier for deck work that replaced boards but did not address the underlying structure. The owner said 34 decks now required structural repair through a new special assessment financed with an HOA loan, and stated homeowners were convinced the prior property manager had received a kickback while the board followed the manager's recommendations.</t>
  </si>
  <si>
    <t>$150,000 prior work; 34 decks requiring later structural repair; new HOA-financed special assessment</t>
  </si>
  <si>
    <t>First-person homeowner complaint / historic contracts reportedly retained / suspected kickback</t>
  </si>
  <si>
    <t>Special Assessment at Risk of Pricing Out Homeowners [OR] [TH]</t>
  </si>
  <si>
    <t>High-value complaint where project cost, management influence and financing converge</t>
  </si>
  <si>
    <t>Kickback is homeowner suspicion only. The poster said original contracts were available and described the association's current loan/special assessment, but no independent finding establishes that prior work was fraudulent or that management received compensation.</t>
  </si>
  <si>
    <t>E354</t>
  </si>
  <si>
    <t>First-person Virginia homeowner complaint</t>
  </si>
  <si>
    <t>Unnamed condominium/HOA; unnamed developer; developer-owned cable company</t>
  </si>
  <si>
    <t>Developer-controlled HOA / developer affiliate / mandatory telecommunications contract</t>
  </si>
  <si>
    <t>DEVELOPER CONTROL + 75-YEAR TELECOM CONTRACT — owner reports developer used HOA to enter 25-year affiliate cable deal extendable to 75 years</t>
  </si>
  <si>
    <t>A Virginia owner described a community with both a condominium association and a developer-created HOA. The owner said the HOA entered a 25-year cable-services contract with the developer's own company that could be extended to 75 years, leaving households unable to opt out. The owner reported paying $95.50 per month for basic cable/internet plus $16.50 per month for HOA administration. Discussion participants pointed to a 2012 Virginia statute limiting certain declarant-era affiliate, management and employment contracts and permitting post-turnover termination.</t>
  </si>
  <si>
    <t>About $112/month reported per household; contract described as 25 years extendable to 75</t>
  </si>
  <si>
    <t>First-person homeowner complaint / statutory mechanism discussed; no adjudicated outcome</t>
  </si>
  <si>
    <t>VA - Developer uses HOA as instrument and locks us in to 75 year contract? Recourse?</t>
  </si>
  <si>
    <t>Highest-priority complaint-level long-term affiliate-contract example</t>
  </si>
  <si>
    <t>No developer/company names or contract documents were provided in the post, and legality was not adjudicated. Include as complaint evidence only. The thread is useful because it describes the alleged mechanism and cites contemporaneous Virginia statutory reform aimed at declarant-era contracts.</t>
  </si>
  <si>
    <t>E560</t>
  </si>
  <si>
    <t>Unnamed HOA board; single favored contractor</t>
  </si>
  <si>
    <t>Homeowner reports repeated overpayment to one contractor and project bids inflated from about $90K to $150K</t>
  </si>
  <si>
    <t>A California homeowner said the association repeatedly overpaid a single contractor and suspected kickbacks because of the magnitude and consistency of the overpayments. As an example, the homeowner described work that should come in around $90,000 being bid at roughly $150,000, while also alleging association financial numbers were manipulated to justify special assessments.</t>
  </si>
  <si>
    <t>$90,000 expected project cost vs about $150,000 bid; ~$60,000 / 67% difference</t>
  </si>
  <si>
    <t>First-person quantified repeated-overpayment / kickback suspicion</t>
  </si>
  <si>
    <t>Consistent overpayment, exaggerated numbers, but not embezzlement?</t>
  </si>
  <si>
    <t>Kickbacks are suspected, not proven. The post provides a concrete quantified example of alleged overpricing and describes a recurring pattern rather than a single expensive project.</t>
  </si>
  <si>
    <t>CASA-BM036</t>
  </si>
  <si>
    <t>Professionally managed; Management company not named; Manager is accused of inaction and poor vendor cost control.</t>
  </si>
  <si>
    <t>Inflated vendor-cost concern</t>
  </si>
  <si>
    <t>Former president described management incompetence and inflated vendor costs during a difficult turnaround.</t>
  </si>
  <si>
    <t>Board-reported pricing concern</t>
  </si>
  <si>
    <t>CASA source record BM036</t>
  </si>
  <si>
    <t>First-person board narrative; captures the narrator's experience and documented facts without independently proving motive or illegality.</t>
  </si>
  <si>
    <t>CASA-BM053</t>
  </si>
  <si>
    <t>Unknown; Unknown; Vendor pricing is directly challenged; management role is not stated.</t>
  </si>
  <si>
    <t>Verified cost reduction after review</t>
  </si>
  <si>
    <t>Board participant was appointed to review gate-access costs, obtained a refund, and drastically reduced the recurring monthly rate.</t>
  </si>
  <si>
    <t>$3,500 refund; $1,200/month reduced to $90/month</t>
  </si>
  <si>
    <t>Direct quantified savings</t>
  </si>
  <si>
    <t>CASA source record BM053</t>
  </si>
  <si>
    <t>CASA-BM090</t>
  </si>
  <si>
    <t>Professionally managed; Company not named; Management-company replacement effort is central, though the current company is not directly criticized.</t>
  </si>
  <si>
    <t>Vendor/management selection influence</t>
  </si>
  <si>
    <t>Board rejected an informal proposal to replace management with an acquaintance; record captures concern about influence over vendor/management selection.</t>
  </si>
  <si>
    <t>Direct procurement-governance concern</t>
  </si>
  <si>
    <t>CASA source record BM090</t>
  </si>
  <si>
    <t>CASA-BM127</t>
  </si>
  <si>
    <t>Professionally managed; Unknown; Management is the central factor, with a stark negative-to-positive comparison.</t>
  </si>
  <si>
    <t>Management replacement / bid transparency</t>
  </si>
  <si>
    <t>Board replaced a fee-driven management company with one the narrator described as transparent on banking, bids, capital planning, and communication.</t>
  </si>
  <si>
    <t>Direct comparative management/procurement evidence</t>
  </si>
  <si>
    <t>CASA source record BM127</t>
  </si>
  <si>
    <t>CASA-BM132</t>
  </si>
  <si>
    <t>Professionally managed; Unknown; Other directors are described as dependent on management and limited to approved, costly contractors.</t>
  </si>
  <si>
    <t>Restricted vendor choice / approved contractors</t>
  </si>
  <si>
    <t>President reported fellow directors relied heavily on management and were limited to expensive approved contractors.</t>
  </si>
  <si>
    <t>Direct vendor-restriction concern</t>
  </si>
  <si>
    <t>CASA source record BM132</t>
  </si>
  <si>
    <t>CASA-BM256</t>
  </si>
  <si>
    <t>Professionally managed; Unknown; Management recommended the original collections firm.</t>
  </si>
  <si>
    <t>Management-recommended provider / high-fee replacement</t>
  </si>
  <si>
    <t>Director opposed a collections-law-firm engagement recommended by management; after escalating fees became apparent, the association replaced the firm.</t>
  </si>
  <si>
    <t>Direct management-recommendation / fee concern</t>
  </si>
  <si>
    <t>CASA source record BM256</t>
  </si>
  <si>
    <t>CASA-BM282</t>
  </si>
  <si>
    <t>Professionally managed; Unknown; Management-company vendor relationships are the central concern.</t>
  </si>
  <si>
    <t>Management incentive / vendor recommendation concern</t>
  </si>
  <si>
    <t>Director said vendor invoices and relationships should be reviewed closely when management compensation or gifts could influence vendor recommendations or spending.</t>
  </si>
  <si>
    <t>Direct incentive/conflict concern</t>
  </si>
  <si>
    <t>CASA source record BM282</t>
  </si>
  <si>
    <t>E001</t>
  </si>
  <si>
    <t>Board member</t>
  </si>
  <si>
    <t>Board solicited vendor; management restriction/refusal</t>
  </si>
  <si>
    <t>Board-selected contractor was substantially cheaper; management company refused future work with that contractor.</t>
  </si>
  <si>
    <t>Other contractors reportedly would cost $10,000-$20,000 more for about half the work.</t>
  </si>
  <si>
    <t>Strong first-person lead</t>
  </si>
  <si>
    <t>Reddit / first-person</t>
  </si>
  <si>
    <t>Management company refusing to work with our chosen contractor</t>
  </si>
  <si>
    <t>Needs source capture / duplicate check</t>
  </si>
  <si>
    <t>Does not establish kickback or improper motive; management cited a prior dispute with contractor.</t>
  </si>
  <si>
    <t>E002</t>
  </si>
  <si>
    <t>Board bid vs management-sourced bids</t>
  </si>
  <si>
    <t>Board member obtained baseline bid X; management-sourced bids came back at 1.5X, 2X and 2.75X, with another bid missing about half the scope.</t>
  </si>
  <si>
    <t>X vs 1.5X / 2X / 2.75X</t>
  </si>
  <si>
    <t>Very strong first-person lead</t>
  </si>
  <si>
    <t>Expectation of Management to Get Reasonable Bids?</t>
  </si>
  <si>
    <t>Different firms may have different overhead/scope; record itself notes scope differences for one proposal.</t>
  </si>
  <si>
    <t>E003</t>
  </si>
  <si>
    <t>Board president</t>
  </si>
  <si>
    <t>Intermediary added after board selection / price increase</t>
  </si>
  <si>
    <t>Board selected Company A from bids; contract later arrived from Company D, with Company A as subcontractor and price over 60% higher.</t>
  </si>
  <si>
    <t>&gt;60% higher than selected bid</t>
  </si>
  <si>
    <t>Feels like our management company is fleecing us</t>
  </si>
  <si>
    <t>Narrator suspected fee extraction; motive is not independently established.</t>
  </si>
  <si>
    <t>E005</t>
  </si>
  <si>
    <t>Percentage project fee + additional intermediary</t>
  </si>
  <si>
    <t>Management contract included an 8% commission when management oversees building projects; management also hired a third party to obtain contractor quotes.</t>
  </si>
  <si>
    <t>8% project-management commission</t>
  </si>
  <si>
    <t>Management company and commission fees</t>
  </si>
  <si>
    <t>Does not establish inflated contractor bids.</t>
  </si>
  <si>
    <t>E014</t>
  </si>
  <si>
    <t>Unnamed management company</t>
  </si>
  <si>
    <t>Board-sourced bid lower than incumbent vendor</t>
  </si>
  <si>
    <t>Board member said a landscaping estimate obtained without going through management was 45% lower than the current vendor.</t>
  </si>
  <si>
    <t>45% lower</t>
  </si>
  <si>
    <t>vender contracts</t>
  </si>
  <si>
    <t>Does not establish why the incumbent price was higher or any improper motive.</t>
  </si>
  <si>
    <t>E015</t>
  </si>
  <si>
    <t>HOA treasurer; CPA/CFE</t>
  </si>
  <si>
    <t>Failure to provide competitive bids</t>
  </si>
  <si>
    <t>Treasurer said they requested multiple landscaping proposals for months, but management provided only one quote and it was higher than the current vendor.</t>
  </si>
  <si>
    <t>One management-provided quote; higher than incumbent</t>
  </si>
  <si>
    <t>Strong first-person process evidence</t>
  </si>
  <si>
    <t>HOA board as CPA</t>
  </si>
  <si>
    <t>First-person account; does not establish why additional bids were not produced.</t>
  </si>
  <si>
    <t>E016</t>
  </si>
  <si>
    <t>Board member; CPA/CFE</t>
  </si>
  <si>
    <t>Management-suggested quotes beaten by independent sourcing</t>
  </si>
  <si>
    <t>New homeowner-controlled board reviewed vendor pricing and independently found lower pricing for cameras, gates, irrigation work, and dog-waste stations than management was suggesting.</t>
  </si>
  <si>
    <t>Multiple categories described as well below management-suggested pricing</t>
  </si>
  <si>
    <t>Strong first-person comparison</t>
  </si>
  <si>
    <t>HOA Management Company Quit</t>
  </si>
  <si>
    <t>No exact bid amounts are supplied in the search result; comparison remains narrator-reported.</t>
  </si>
  <si>
    <t>E018</t>
  </si>
  <si>
    <t>HOA president</t>
  </si>
  <si>
    <t>Preferred vendor paid despite board instruction</t>
  </si>
  <si>
    <t>President said management paid a preferred vendor about $6,000 despite written board instruction not to pay while defective/incomplete work remained disputed.</t>
  </si>
  <si>
    <t>$6,000 payment</t>
  </si>
  <si>
    <t>Strong first-person governance/vendor-control evidence</t>
  </si>
  <si>
    <t>HOA disagreement w/PMC</t>
  </si>
  <si>
    <t>This is a vendor-control/payment-authority issue rather than a bid-price comparison.</t>
  </si>
  <si>
    <t>E019</t>
  </si>
  <si>
    <t>Former HOA president / forum participant</t>
  </si>
  <si>
    <t>Unnamed management company with maintenance operation</t>
  </si>
  <si>
    <t>Management company / in-house maintenance</t>
  </si>
  <si>
    <t>Bid visibility / in-house vendor advantage</t>
  </si>
  <si>
    <t>Former president said management's maintenance people could see competing bids arriving by fax and then underbid them to win the work.</t>
  </si>
  <si>
    <t>First-person historical allegation</t>
  </si>
  <si>
    <t>Management Companies</t>
  </si>
  <si>
    <t>Historical forum statement; needs careful source preservation and should not be treated as independently verified.</t>
  </si>
  <si>
    <t>E020</t>
  </si>
  <si>
    <t>HOA treasurer</t>
  </si>
  <si>
    <t>Management-company overbilling / charge to investigate</t>
  </si>
  <si>
    <t>Treasurer said documentation showed the management company had overbilled the HOA by thousands; manager responded that researching the dispute could generate an additional charge.</t>
  </si>
  <si>
    <t>Thousands of dollars alleged</t>
  </si>
  <si>
    <t>Strong first-person billing lead</t>
  </si>
  <si>
    <t>Billing dispute?</t>
  </si>
  <si>
    <t>Narrator believed it was likely a system error rather than deception.</t>
  </si>
  <si>
    <t>E022</t>
  </si>
  <si>
    <t>HOA president and CAI-RMC chapter vice president</t>
  </si>
  <si>
    <t>CAI Rocky Mountain Chapter; unnamed preferred HVAC/roofing vendors</t>
  </si>
  <si>
    <t>Industry association / preferred vendors</t>
  </si>
  <si>
    <t>Preferred vendors beaten by independent market checks</t>
  </si>
  <si>
    <t>HOA leader described checking preferred HVAC pricing and later independently sourcing roofing bids outside the preferred network.</t>
  </si>
  <si>
    <t>HVAC annual cost reportedly fell from ~ $22,000 ten-year average to &lt; $4,000; roofing bids $85,000-$400,000; selected outside vendor &lt; $140,000</t>
  </si>
  <si>
    <t>Very strong quantified industry/board account</t>
  </si>
  <si>
    <t>CAI Rocky Mountain Chapter</t>
  </si>
  <si>
    <t>Are “Preferred” Contractors Preferred?</t>
  </si>
  <si>
    <t>Author's board experience; bid scope comparability must be read carefully, but the article itself emphasizes itemized comparable scopes.</t>
  </si>
  <si>
    <t>E032</t>
  </si>
  <si>
    <t>Unnamed management company / insurance provider</t>
  </si>
  <si>
    <t>INSURANCE — Vendor changed without board authorization / no quote review</t>
  </si>
  <si>
    <t>Board member said management failed to renew the prior insurance policy, then signed with a new provider without showing the board quotes or obtaining approval.</t>
  </si>
  <si>
    <t>~7x prior insurance rate</t>
  </si>
  <si>
    <t>Management Company changed insurance vendor without Board authorization (SoCal)</t>
  </si>
  <si>
    <t>First-person account; the replacement policy may differ in coverage or market conditions, so the 7x figure is not by itself proof of overpricing.</t>
  </si>
  <si>
    <t>E033</t>
  </si>
  <si>
    <t>Unnamed property management company / VIVE</t>
  </si>
  <si>
    <t>Management company / vendor compliance platform</t>
  </si>
  <si>
    <t>Pre-approved-vendor restriction / outside bidders discouraged</t>
  </si>
  <si>
    <t>Board member said management required vendors to satisfy its approval requirements; outside vendors stopped wanting to bid and management urged the HOA to proceed with single-quote jobs despite the HOA's procurement policy.</t>
  </si>
  <si>
    <t>No direct price comparison in narrator's own situation</t>
  </si>
  <si>
    <t>Strong first-person vendor-restriction lead</t>
  </si>
  <si>
    <t>Is it normal for a property manager to require an HOA to only use vendors pre approved by the property manager?</t>
  </si>
  <si>
    <t>Vendor compliance requirements can serve legitimate risk-management purposes; the record documents the board member's reported effect on competition.</t>
  </si>
  <si>
    <t>E044</t>
  </si>
  <si>
    <t>Percentage-of-vendor-invoice project fee</t>
  </si>
  <si>
    <t>Board member said a proposed roofing-project administration agreement required the HOA to pay management 5% of vendor invoices paid each month.</t>
  </si>
  <si>
    <t>5%; poster estimated +$325,000 project would mean ~$800 per owner for management compensation</t>
  </si>
  <si>
    <t>Strong first-person contract evidence</t>
  </si>
  <si>
    <t>Management company wants a special contract for Roofing Project admin work!</t>
  </si>
  <si>
    <t>Percentage project fees can compensate real additional work; record documents incentive structure, not improper pricing.</t>
  </si>
  <si>
    <t>E045</t>
  </si>
  <si>
    <t>HOA member reviewing financials</t>
  </si>
  <si>
    <t>Unnamed HOA management company</t>
  </si>
  <si>
    <t>Percentage-of-project fee</t>
  </si>
  <si>
    <t>Poster said financials showed management being paid 5% of major-project cost, including a roofing project.</t>
  </si>
  <si>
    <t>5% of major project cost</t>
  </si>
  <si>
    <t>Strong first-person financial/contract lead</t>
  </si>
  <si>
    <t>Is it common for an HOA management company to be paid a fee on top of major projects they work?</t>
  </si>
  <si>
    <t>Thread includes industry participants saying such fees are common, but prevalence cannot be inferred from comments.</t>
  </si>
  <si>
    <t>E058</t>
  </si>
  <si>
    <t>Unnamed property management company; two unnamed vendors</t>
  </si>
  <si>
    <t>Management company / vendors</t>
  </si>
  <si>
    <t>Suspected contract steering and kickbacks</t>
  </si>
  <si>
    <t>Treasurer said the property manager used only two vendors, acknowledged a relationship with one company, denied the treasurer invoices/contracts, and was suspected of steering contracts and receiving kickbacks.</t>
  </si>
  <si>
    <t>Strong first-person board allegation</t>
  </si>
  <si>
    <t>Avvo legal question</t>
  </si>
  <si>
    <t>HOA treasurer asks about audit over suspected contract steering/kickbacks</t>
  </si>
  <si>
    <t>The treasurer expressly frames this as suspicion and asks for legal options; no kickback is proven in the source.</t>
  </si>
  <si>
    <t>E068</t>
  </si>
  <si>
    <t>Unnamed board president / president's own company</t>
  </si>
  <si>
    <t>Board member / self-dealing vendor</t>
  </si>
  <si>
    <t>Board president bidding on own HOA contract</t>
  </si>
  <si>
    <t>Board member complained that the president sought to award himself a camera/card-access contract, called a special meeting with his own bid and only one competing bid, and lobbied other directors before the vote.</t>
  </si>
  <si>
    <t>Board Member Conflict of Interest</t>
  </si>
  <si>
    <t>The post documents a conflict/self-dealing concern; it does not establish that the president's bid was inflated or that a kickback occurred.</t>
  </si>
  <si>
    <t>E074</t>
  </si>
  <si>
    <t>Board member / homeowner</t>
  </si>
  <si>
    <t>Unnamed property management company / select contractors</t>
  </si>
  <si>
    <t>Management company / contractors</t>
  </si>
  <si>
    <t>Suspected percentage kickbacks from manager-selected bidders</t>
  </si>
  <si>
    <t>Condo owner/board participant questioned whether a property manager bringing a select group of contractors for a $250,000-$300,000 project might receive a percentage from contractors because the manager's report did not disclose contractor relationships or fees.</t>
  </si>
  <si>
    <t>$250,000-$300,000 project</t>
  </si>
  <si>
    <t>Is property manager getting kickbacks?</t>
  </si>
  <si>
    <t>This is suspicion prompted by vendor selection and lack of disclosure, not evidence that a kickback occurred.</t>
  </si>
  <si>
    <t>E080</t>
  </si>
  <si>
    <t>HOA service vendor / former board president</t>
  </si>
  <si>
    <t>Unnamed large property management company</t>
  </si>
  <si>
    <t>Management company / vendor network</t>
  </si>
  <si>
    <t>Alleged 10% vendor-network pay-to-play program</t>
  </si>
  <si>
    <t>Industry participant said they had documentation of a large management-company vendor program taking 10% of gross profit on extra jobs introduced through the management company and described financial incentives used to get onto bid lists.</t>
  </si>
  <si>
    <t>10% of gross profit on introduced extra jobs alleged</t>
  </si>
  <si>
    <t>First-person industry allegation</t>
  </si>
  <si>
    <t>Kickbacks</t>
  </si>
  <si>
    <t>Company is intentionally unnamed in the thread. The poster claims documentation but it is not reproduced in the search result.</t>
  </si>
  <si>
    <t>E082</t>
  </si>
  <si>
    <t>Unnamed board director / contractor</t>
  </si>
  <si>
    <t>Related-party contractor award</t>
  </si>
  <si>
    <t>A newly elected director reviewing financials found an invoice from an employee of one director who was also the son of another newly elected director and an employee of the management company, raising multiple conflict concerns.</t>
  </si>
  <si>
    <t>Strong first-person related-party complaint</t>
  </si>
  <si>
    <t>Board contracted an employee, and now Son, of one of the Directors to cut down trees</t>
  </si>
  <si>
    <t>Conflict/related-party evidence; no proof the price was inflated or that a kickback occurred.</t>
  </si>
  <si>
    <t>E085</t>
  </si>
  <si>
    <t>New HOA president / homeowner</t>
  </si>
  <si>
    <t>Unnamed property management company; former HOA president</t>
  </si>
  <si>
    <t>Management company / former board president</t>
  </si>
  <si>
    <t>Board president allegedly receiving payments from management company</t>
  </si>
  <si>
    <t>New president said they discovered the former HOA president had been receiving checks from the HOA's property management company, creating a direct financial-conflict concern.</t>
  </si>
  <si>
    <t>Strong first-person financial-conflict allegation</t>
  </si>
  <si>
    <t>Can an HOA president also work for the property management company?</t>
  </si>
  <si>
    <t>The post states checks were discovered but does not explain their purpose or attach them; improper compensation is not independently established.</t>
  </si>
  <si>
    <t>E089</t>
  </si>
  <si>
    <t>Co-op board president / forensic investigation</t>
  </si>
  <si>
    <t>Unnamed employee-created renovation company; unnamed managing agent</t>
  </si>
  <si>
    <t>Employee-affiliated vendor / managing agent</t>
  </si>
  <si>
    <t>Affiliated shell-like vendor, &gt;2x pricing and 10% kickback</t>
  </si>
  <si>
    <t>A Bronx co-op president suspected excessive spending. Forensic review found maintenance employees had formed a renovation company, charged more than double market rates, and the managing agent allegedly allowed it for a 10% kickback.</t>
  </si>
  <si>
    <t>More than 2x going rate; 10% of $50,000-$70,000 annual billings; six-figure overbilling</t>
  </si>
  <si>
    <t>Forensic investigation / caught scheme</t>
  </si>
  <si>
    <t>Case 2: The Single-Client Company</t>
  </si>
  <si>
    <t>Habitat reports a forensic-accountant case study; parties/building are anonymized and the board did not pursue prosecution.</t>
  </si>
  <si>
    <t>E090</t>
  </si>
  <si>
    <t>Special board committee / forensic investigation</t>
  </si>
  <si>
    <t>Unnamed managing agent; unnamed renovation contractor; board president / attorney relationships</t>
  </si>
  <si>
    <t>Management / contractor / board insiders</t>
  </si>
  <si>
    <t>Conduit billing, suspicious vendor payments and alleged commercial bribery</t>
  </si>
  <si>
    <t>A board committee investigating a large unexplained loss found suspicious vendor payments and sparse invoices. Investigators recorded a contractor admitting he billed as a conduit for a former board president and managing agent who would divide the money.</t>
  </si>
  <si>
    <t>$55,000 unexplained contractor payment beyond $242,000 fee; $78,000 suspicious plumbing payments; other unexplained payments</t>
  </si>
  <si>
    <t>Forensic investigation with recorded admission</t>
  </si>
  <si>
    <t>Case 4: The President, the Lawyer and the Fake Loan</t>
  </si>
  <si>
    <t>Investigators said they believed evidence supported commercial bribery, but prosecutors did not bring a case; retain as investigated/caught allegation rather than conviction.</t>
  </si>
  <si>
    <t>E093</t>
  </si>
  <si>
    <t>HOA board member</t>
  </si>
  <si>
    <t>Unnamed management company; unnamed vendors</t>
  </si>
  <si>
    <t>Suspected kickbacks through unnecessary vendor work</t>
  </si>
  <si>
    <t>Board member said management dispatched multiple vendors who each identified expensive work but would not provide written diagnostic notes without extra payment; the board member asked how to protect against vendor-to-management kickbacks or manufactured work.</t>
  </si>
  <si>
    <t>First-person board suspicion</t>
  </si>
  <si>
    <t>How do you implement checks and balances when it comes to maintenance</t>
  </si>
  <si>
    <t>No kickback or unnecessary work is proven; retain as a complaint about a procurement pattern that raised explicit kickback suspicion.</t>
  </si>
  <si>
    <t>E097</t>
  </si>
  <si>
    <t>Unnamed HOA board; preferred pressure-cleaning vendor</t>
  </si>
  <si>
    <t>Board / preferred vendor</t>
  </si>
  <si>
    <t>Preferred-vendor endorsement plus alleged free service to board member</t>
  </si>
  <si>
    <t>Board member questioned an HOA flyer endorsing 'Our Preferred Vendors.' A participant stated a board member had received free pressure cleaning from one of the promoted vendors, raising a direct compensation/conflict concern.</t>
  </si>
  <si>
    <t>Free pressure cleaning alleged</t>
  </si>
  <si>
    <t>First-person board-thread conflict allegation</t>
  </si>
  <si>
    <t>HOA preferred vendors</t>
  </si>
  <si>
    <t>The free-service allegation appears in the discussion and should be treated as an allegation unless underlying evidence is obtained.</t>
  </si>
  <si>
    <t>E104</t>
  </si>
  <si>
    <t>Unnamed property manager; manager's husband's landscaping company</t>
  </si>
  <si>
    <t>Management company / related-party vendor</t>
  </si>
  <si>
    <t>Undisclosed spouse relationship in bid procurement</t>
  </si>
  <si>
    <t>Board member said the property manager solicited bids and recommended a landscaping company while telling the board only that she had 'personal knowledge' of it; some directors later knew the company belonged to her husband. The manager and president also approved invoices.</t>
  </si>
  <si>
    <t>Lowest bid reportedly, exact amount not stated</t>
  </si>
  <si>
    <t>Strong first-person undisclosed related-party complaint</t>
  </si>
  <si>
    <t>HOA Property hires Property Manager’s husband’s landscaping company. Is that okay?</t>
  </si>
  <si>
    <t>No overpricing or kickback is proven; included because the complaint concerns undisclosed familial financial interest in vendor selection.</t>
  </si>
  <si>
    <t>E105</t>
  </si>
  <si>
    <t>Homeowner / newly elected HOA president</t>
  </si>
  <si>
    <t>Former HOA president; former president's spouse</t>
  </si>
  <si>
    <t>Board / related-party paid position</t>
  </si>
  <si>
    <t>Undisclosed spouse compensation discovered after board change</t>
  </si>
  <si>
    <t>New president said bank records showed the former president had hired her spouse as operations manager years earlier and the association had been paying him monthly, while the arrangement was allegedly omitted from financial explanations to owners.</t>
  </si>
  <si>
    <t>$1,600 per month; about 20% of association revenue</t>
  </si>
  <si>
    <t>Strong quantified first-person self-dealing discovery</t>
  </si>
  <si>
    <t>Became HOA Prez and uncovered a very shady situation</t>
  </si>
  <si>
    <t>This is related-party compensation rather than a contractor kickback; included because the alleged concealment and self-dealing meet the strict financial-conflict standard.</t>
  </si>
  <si>
    <t>E109</t>
  </si>
  <si>
    <t>Condo association participant</t>
  </si>
  <si>
    <t>Unnamed old board; unnamed contractor connected to new board member's husband</t>
  </si>
  <si>
    <t>Contract awarded through personal relationship without board process after prior kickback allegations</t>
  </si>
  <si>
    <t>Association participant said a board member told a contractor who worked with her husband that she could simply give him a repair contract without board approval or competing bids. The association's prior board had already been accused of contractor kickbacks.</t>
  </si>
  <si>
    <t>Strong first-person conflict/procurement complaint</t>
  </si>
  <si>
    <t>Condo association board member under fire for hiring contractor</t>
  </si>
  <si>
    <t>No kickback is established in the new board transaction; inclusion is based on related-party steering and absence of competitive bidding.</t>
  </si>
  <si>
    <t>E122</t>
  </si>
  <si>
    <t>Board/association participant recounting fraud examples</t>
  </si>
  <si>
    <t>Unnamed management company / board members / direct hires</t>
  </si>
  <si>
    <t>Management / board / vendors</t>
  </si>
  <si>
    <t>Missing funds, vendor nonpayment and false-work billing</t>
  </si>
  <si>
    <t>Participant described management-company funds that disappeared, outstanding vendor checks that never cleared, and separate fraud experiences involving board members demanding checks payable to themselves for vendor purchases and association hires billing for work not done.</t>
  </si>
  <si>
    <t>No single amount stated</t>
  </si>
  <si>
    <t>First-person multi-example fraud account</t>
  </si>
  <si>
    <t>Has anyone experienced a management company embezzling $$? If so, what happened?</t>
  </si>
  <si>
    <t>Contains several separate experiences in one comment; do not count each anecdote as an independent association without further sourcing.</t>
  </si>
  <si>
    <t>E125</t>
  </si>
  <si>
    <t>Condo owner / former board president commenting on current project</t>
  </si>
  <si>
    <t>Florida / New York comparison</t>
  </si>
  <si>
    <t>Unnamed property manager / recurring contractor</t>
  </si>
  <si>
    <t>Property manager / contractor</t>
  </si>
  <si>
    <t>Owner alleges manager's repeat contractor is a kickback vehicle after extreme cost escalation</t>
  </si>
  <si>
    <t>In a discussion of a $3.9M roofing project, a commenter said their high-rise condo's manager insisted on a contractor previously used elsewhere and alleged a kickback relationship, contrasting prior facade work of about $120,000 with a current project said to have reached $2.6M.</t>
  </si>
  <si>
    <t>$120,000 historical comparable vs ~$2.6M current project alleged</t>
  </si>
  <si>
    <t>Quantified first-person kickback allegation</t>
  </si>
  <si>
    <t>HOA is starting a $3.9M roofing project but refuses to share project cost breakdown</t>
  </si>
  <si>
    <t>The kickback assertion is unverified and appears in a comment; scope comparability needs documentation.</t>
  </si>
  <si>
    <t>E137</t>
  </si>
  <si>
    <t>Former HOA president/property manager charged</t>
  </si>
  <si>
    <t>Palm Bay Club Condominiums; Guillermo Angel Alonso; Klean Power Electric Inc.</t>
  </si>
  <si>
    <t>Board president / property manager / self-owned vendor</t>
  </si>
  <si>
    <t>President-manager hired his own company and paid it for unverifiable work</t>
  </si>
  <si>
    <t>FDLE alleged former HOA president/property manager Guillermo Alonso used association funds personally and hired Klean Power Electric, a company he owned, with multiple HOA checks transferred onward to his personal account despite no work being verifiable.</t>
  </si>
  <si>
    <t>More than $275,000 alleged scheme value</t>
  </si>
  <si>
    <t>Law-enforcement-backed criminal allegation</t>
  </si>
  <si>
    <t>Florida Department of Law Enforcement</t>
  </si>
  <si>
    <t>FDLE arrests former HOA president for organized scheme to defraud</t>
  </si>
  <si>
    <t>Arrest-stage allegations in the cited FDLE release; procedural outcome should be separately verified if used as adjudicated evidence.</t>
  </si>
  <si>
    <t>E142</t>
  </si>
  <si>
    <t>Unnamed property manager / vendors</t>
  </si>
  <si>
    <t>Board review finds vendor proposals nearly double after manager fails to challenge them</t>
  </si>
  <si>
    <t>A board member reviewing vendor invoices described an elevator quote near $13,000 that dropped below $7,000 after the director intervened, plus other vague high-priced proposals management had not scrutinized; the complaint raised concern about vendor cash grabs and inadequate oversight.</t>
  </si>
  <si>
    <t>$13,000 quote reduced to under $7,000</t>
  </si>
  <si>
    <t>Quantified first-person procurement-abuse concern</t>
  </si>
  <si>
    <t>Property Manager Vendor Oversight</t>
  </si>
  <si>
    <t>No kickback is alleged or proven. This is borderline and should remain only if the strict scope includes suspected vendor overbilling discovered by board review.</t>
  </si>
  <si>
    <t>E194</t>
  </si>
  <si>
    <t>Unnamed property management company; patrol/security vendor</t>
  </si>
  <si>
    <t>Management company / preferred vendor</t>
  </si>
  <si>
    <t>Manager relentlessly pushes replacement vendor, prompting board member to investigate incentives</t>
  </si>
  <si>
    <t>A board member said the association wanted to eliminate a patrol company but the management representative repeatedly pushed a specific replacement vendor until other directors agreed. The board member asked how to determine whether management received incentives or kickbacks from vendors.</t>
  </si>
  <si>
    <t>First-person explicit vendor-steering / incentive suspicion</t>
  </si>
  <si>
    <t>Property management companies</t>
  </si>
  <si>
    <t>No kickback is established. A manager responding in the thread said their own company prohibited kickbacks and that trusted vendors are commonly recommended for legitimate operational reasons.</t>
  </si>
  <si>
    <t>E197</t>
  </si>
  <si>
    <t>Unnamed HOA; incumbent/interim insurance agent; replacement local agent</t>
  </si>
  <si>
    <t>HOA insurance procurement / insurance agents</t>
  </si>
  <si>
    <t>INSURANCE — Board found replacement insurance at old premium after interim coverage rose sixfold</t>
  </si>
  <si>
    <t>Board member said a 16-unit HOA lost coverage and obtained interim insurance at about $180,000 annually, then found a local agent able to secure coverage near the prior $30,000 annual premium. The account later became a dispute over changing agents and commissions.</t>
  </si>
  <si>
    <t>$180,000 interim premium vs about $30,000 replacement coverage; ~$150,000 annual difference</t>
  </si>
  <si>
    <t>Very strong quantified first-person insurance-shopping example</t>
  </si>
  <si>
    <t>President switched insurance agent who saved our HOA $150,000 in premiums</t>
  </si>
  <si>
    <t>This does not establish wrongdoing by the prior agent; it is strong evidence that materially better association insurance pricing was found through another agent.</t>
  </si>
  <si>
    <t>E198</t>
  </si>
  <si>
    <t>Unnamed incumbent Agent A; competing Agents B and C</t>
  </si>
  <si>
    <t>HOA insurance agents / carrier-market access</t>
  </si>
  <si>
    <t>INSURANCE — Incumbent agent quotes 200% increase while competing agent finds materially lower option after market lockout concerns</t>
  </si>
  <si>
    <t>Board member said the longtime HOA insurance agent produced a renewal increasing premium from about $110,000 to $328,000 and had approached carriers first, effectively locking competing agents out of many markets. Because the board had proactively engaged other agents, another agent was still able to produce an alternative.</t>
  </si>
  <si>
    <t>$110,000 prior premium; $328,000 incumbent renewal quote; ~200% increase</t>
  </si>
  <si>
    <t>Quantified first-person insurance procurement / market-access complaint</t>
  </si>
  <si>
    <t>Update: Insurance increased almost $220,000, 200% increase</t>
  </si>
  <si>
    <t>Carrier blocking/market reservation can be a normal feature of commercial insurance submissions; the record should not imply fraud. Relevant because agent choice and timing materially constrained competitive insurance bidding.</t>
  </si>
  <si>
    <t>E200</t>
  </si>
  <si>
    <t>Unnamed property management company; SuperKey</t>
  </si>
  <si>
    <t>Management company / affiliated or partnered insurance brokerage</t>
  </si>
  <si>
    <t>INSURANCE — Management announces in-house insurance brokerage partnership and board questions whether it must use it</t>
  </si>
  <si>
    <t>A board member said the property management company announced that it had partnered with SuperKey, described in the communication as its in-house insurance brokerage, prompting the board to ask whether the association could continue using another broker.</t>
  </si>
  <si>
    <t>First-person insurance-choice / affiliated-broker concern</t>
  </si>
  <si>
    <t>Do we have to use our property management insurance broker</t>
  </si>
  <si>
    <t>High-value structural complaint</t>
  </si>
  <si>
    <t>The post does not establish forced use, commission sharing, or inferior pricing. It documents a board's concern about freedom to shop after a management-broker partnership announcement.</t>
  </si>
  <si>
    <t>E207</t>
  </si>
  <si>
    <t>HOA board president / homeowner advocate</t>
  </si>
  <si>
    <t>HOA insurance broker</t>
  </si>
  <si>
    <t>INSURANCE — Broker's 10% commission rises dramatically as association premium jumps</t>
  </si>
  <si>
    <t>A board/homeowner advocate described asking the HOA insurance broker how he was paid after the association's premium escalated sharply. The broker said he received a 10% commission. The homeowner calculated the broker's compensation rising from about $17,500 on a $175,000 premium to about $170,000 on a $1.7 million premium.</t>
  </si>
  <si>
    <t>$175,000 premium / ~$17,500 commission in 2020; $1.7M premium / ~$170,000 commission in 2024</t>
  </si>
  <si>
    <t>Quantified first-person insurance commission / incentive concern</t>
  </si>
  <si>
    <t>Consumer Watchdog</t>
  </si>
  <si>
    <t>Bruce Breslau – Homeowners Insurance</t>
  </si>
  <si>
    <t>High-priority insurance evidence</t>
  </si>
  <si>
    <t>The commission was disclosed when asked. Rising commission with rising premium does not establish improper placement; this record documents the incentive structure and homeowner conflict-of-interest concern.</t>
  </si>
  <si>
    <t>E208</t>
  </si>
  <si>
    <t>Condominium board president</t>
  </si>
  <si>
    <t>Insurance Broker A; managing agents ABC and DEF</t>
  </si>
  <si>
    <t>Managing agents / insurance broker</t>
  </si>
  <si>
    <t>INSURANCE — Managing agents aggressively pushed incumbent broker; president suspected commission sharing and inferior competitive outcome</t>
  </si>
  <si>
    <t>A New York condominium president told the state insurance department that successive managing agents aggressively pushed renewal through Insurance Broker A. The president later learned the managing agents were themselves licensed insurance brokers and asked whether Broker A might have shared commission with them, potentially affecting whether the condominium received the best coverage at the best price.</t>
  </si>
  <si>
    <t>Commission-sharing amount unknown</t>
  </si>
  <si>
    <t>Government-recorded first-person commission-sharing concern</t>
  </si>
  <si>
    <t>New York Department of Financial Services</t>
  </si>
  <si>
    <t>OGC Opinion No. 06-11-19: Disclosure of Insurance Broker's Commission Sharing Arrangement</t>
  </si>
  <si>
    <t>The state opinion did not establish that commission sharing actually occurred. It concluded that undisclosed commission sharing in some circumstances could create conflicted loyalties / untrustworthy-conduct concerns.</t>
  </si>
  <si>
    <t>E209</t>
  </si>
  <si>
    <t>Condo board</t>
  </si>
  <si>
    <t>Original insurance broker; Hylant</t>
  </si>
  <si>
    <t>HOA insurance brokers</t>
  </si>
  <si>
    <t>INSURANCE — Outside broker secured coverage for $250,000 less than incumbent broker's late offer</t>
  </si>
  <si>
    <t>A 55-unit condo board learned shortly before expiration that its policy would not renew. After the longtime broker provided little warning or solution, the board contacted another broker, which secured coverage by the deadline at a cost $250,000 below the original broker's later offer.</t>
  </si>
  <si>
    <t>$250,000 savings versus original broker's offer</t>
  </si>
  <si>
    <t>Quantified broker case study / outside-shopping result</t>
  </si>
  <si>
    <t>Hylant</t>
  </si>
  <si>
    <t>Condo Board Secures Insurance Just in Time, Saves $250K</t>
  </si>
  <si>
    <t>High-priority insurance comparison</t>
  </si>
  <si>
    <t>Broker-authored case study and therefore marketing evidence. It nevertheless provides a concrete outside-broker pricing comparison; no misconduct by the incumbent broker is established.</t>
  </si>
  <si>
    <t>E214</t>
  </si>
  <si>
    <t>HOA board / former management-client account</t>
  </si>
  <si>
    <t>Unnamed property management company; manager-preferred contractor</t>
  </si>
  <si>
    <t>Property manager / preferred contractor</t>
  </si>
  <si>
    <t>After manager was terminated, association learned costly vendor was manager's personal preferred vendor rather than company preferred vendor</t>
  </si>
  <si>
    <t>A discussion participant said their association strongly suspected a manager was receiving kickbacks because the manager repeatedly pushed an expensive vendor as the management company's preferred vendor. After the manager was terminated, they learned the vendor was not actually the company's preferred vendor but the individual manager's preferred vendor.</t>
  </si>
  <si>
    <t>Vendor described as very expensive; amount not stated</t>
  </si>
  <si>
    <t>First-person post-termination vendor-steering discovery / kickback suspicion</t>
  </si>
  <si>
    <t>Removed HOA discussion: preferred vendor and insurance commission sharing</t>
  </si>
  <si>
    <t>No kickback was proven in the visible discussion. What was reportedly discovered was that the vendor relationship was manager-specific rather than company-wide.</t>
  </si>
  <si>
    <t>E219</t>
  </si>
  <si>
    <t>Unnamed former management company; former preferred balcony contractor</t>
  </si>
  <si>
    <t>Management company / preferred contractor</t>
  </si>
  <si>
    <t>Association abandoned management company's longtime vendor, found it unlicensed/uninsured, and says self-sourcing later saved about $150,000</t>
  </si>
  <si>
    <t>A board member said the HOA terminated its management company after a contractor the manager had used for years on balcony work turned out to be unlicensed, uninsured and incompetent. The now self-managed association independently screened vendors for later roofing, siding and smaller projects and reported saving roughly $150,000 through its own vendor sourcing.</t>
  </si>
  <si>
    <t>Approximately $150,000 savings after self-sourcing vendors</t>
  </si>
  <si>
    <t>First-person post-management preferred-vendor outcome</t>
  </si>
  <si>
    <t>Best way to find vendors?</t>
  </si>
  <si>
    <t>No kickback is alleged. Strong evidence for the narrower preferred-vendor/outside-sourcing question and for quality/licensing concerns associated with a longtime management-selected contractor.</t>
  </si>
  <si>
    <t>E221</t>
  </si>
  <si>
    <t>Condo board leaders</t>
  </si>
  <si>
    <t>Windwood Condominiums; unnamed insurance broker/carriers</t>
  </si>
  <si>
    <t>HOA board / insurance broker / carriers</t>
  </si>
  <si>
    <t>INSURANCE — Board changed insurance carrier and saved about $100,000 after major premium shock</t>
  </si>
  <si>
    <t>Windwood Condominium board leaders said an insurance crisis sharply increased owner dues. After seeking advice and options through their broker, changing carriers the following year reduced annual premium cost by about $100,000.</t>
  </si>
  <si>
    <t>About $100,000 annual premium savings after carrier change</t>
  </si>
  <si>
    <t>Named board-member / reported insurance shopping outcome</t>
  </si>
  <si>
    <t>HOA Leadership Network / Star Tribune reporting</t>
  </si>
  <si>
    <t>HOALN in Star Tribune Article on HOA Insurance</t>
  </si>
  <si>
    <t>This does not involve an outside broker replacing a preferred broker and does not establish conflicted procurement. Included as a concrete insurance-market-shopping savings result.</t>
  </si>
  <si>
    <t>E224</t>
  </si>
  <si>
    <t>Condo president</t>
  </si>
  <si>
    <t>Unnamed property manager; single unnamed lender</t>
  </si>
  <si>
    <t>Management company / lender</t>
  </si>
  <si>
    <t>Board receives only one loan application and president asks whether manager is compensated by lender</t>
  </si>
  <si>
    <t>A relatively new condo president said the board followed the property manager's advice to finance $109,000 in upgrades rather than assess owners, but management supplied only one lender's application. The president explicitly asked whether management companies or managers receive kickbacks or compensation from lenders and contractors.</t>
  </si>
  <si>
    <t>$109,000 association loan contemplated</t>
  </si>
  <si>
    <t>First-person lender-steering / compensation suspicion</t>
  </si>
  <si>
    <t>Do management companies or agents typically get financial kick-back or compensation from lenders/contractors?</t>
  </si>
  <si>
    <t>No lender compensation is proven. The same discussion includes a board president quoting management contracts with disclosed 1% loan-assistance fees, which shows the distinction between disclosed management compensation and hidden lender kickbacks.</t>
  </si>
  <si>
    <t>E230</t>
  </si>
  <si>
    <t>HOA director</t>
  </si>
  <si>
    <t>Unnamed long-term board president; president's company; property manager</t>
  </si>
  <si>
    <t>Board president / board-president-owned vendor / property manager</t>
  </si>
  <si>
    <t>Director says manager repeatedly awarded non-contracted HOA work to president's company without quotes or board knowledge</t>
  </si>
  <si>
    <t>An HOA director said the property manager repeatedly exceeded contractual spending authority by awarding association business to the long-term board president's company, usually without even obtaining a quote or competitive bids and without the knowledge of other directors. The president's company had also been a contracted HOA vendor for more than 15 years.</t>
  </si>
  <si>
    <t>First-person director allegation of repeated related-party procurement without bidding</t>
  </si>
  <si>
    <t>Directors talking association business outside of noticed meetings</t>
  </si>
  <si>
    <t>The director states the conduct was documented, but the source itself does not provide the underlying contracts/invoices. Related-party awards are allegations from a sitting director, not an adjudicated finding.</t>
  </si>
  <si>
    <t>E231</t>
  </si>
  <si>
    <t>Co-op board member / shareholder</t>
  </si>
  <si>
    <t>Unnamed downtown co-op board president; building vendors; architect and bidders</t>
  </si>
  <si>
    <t>Board president / vendors / architect / contractors</t>
  </si>
  <si>
    <t>Board whistleblower alleges &gt;$500,000 kickbacks; separate association counsel describes price-fixing among bidders</t>
  </si>
  <si>
    <t>CooperatorNews reported a downtown co-op board member who said the board president misused building labor and supplies and took more than $500,000 in kickbacks, with the district attorney opening a file. In a separate association matter in the same article, counsel said an architect appeared to coordinate bidders so the selected low bid remained significantly above market and had a relative in a participating company.</t>
  </si>
  <si>
    <t>More than $500,000 kickbacks alleged; 40% extraction alleged in some transactions</t>
  </si>
  <si>
    <t>Industry publication / board whistleblower and counsel accounts of kickbacks and bid fixing</t>
  </si>
  <si>
    <t>CooperatorNews New York</t>
  </si>
  <si>
    <t>It Can Happen to You - True Stories of Fraud</t>
  </si>
  <si>
    <t>High-priority historical fraud lead</t>
  </si>
  <si>
    <t>The co-op kickback matter was described as under investigation at publication; the architect price-fixing example is a separate association incident. Preserve as reported allegations unless later court/prosecution records are located.</t>
  </si>
  <si>
    <t>E234</t>
  </si>
  <si>
    <t>Unnamed management company; management-company owner; management-selected bank</t>
  </si>
  <si>
    <t>Management company / bank / association deposits</t>
  </si>
  <si>
    <t>Board discovers management company owner is sole signer and board is denied direct bank access</t>
  </si>
  <si>
    <t>A board member reviewing a 109-home association's financial setup said the management company selected a bank with no local branches, the management-company owner was the only signer on HOA accounts, and board members were told they could not have direct online access or receive statements from the bank. The management contract also gave broad disbursement authority to management.</t>
  </si>
  <si>
    <t>109-home HOA; no dollar balance stated</t>
  </si>
  <si>
    <t>First-person board discovery of concentrated bank control / restricted financial transparency</t>
  </si>
  <si>
    <t>Only our Management Company has access to HOA bank accounts… is that normal?</t>
  </si>
  <si>
    <t>High-value banking/control lead</t>
  </si>
  <si>
    <t>No kickback, theft, or bank-paid incentive is alleged. Included because the board discovered unusually concentrated control over association banking and inability to independently verify statements, which is relevant to the banking-risk search lane.</t>
  </si>
  <si>
    <t>E236</t>
  </si>
  <si>
    <t>Condo board member</t>
  </si>
  <si>
    <t>Unnamed HOA board member / insurance agency</t>
  </si>
  <si>
    <t>INSURANCE — Director discovers fellow board member became the association's paid insurance agent</t>
  </si>
  <si>
    <t>A director of a 30-unit Washington condo said another board member, who was an insurance agent, became the agent for the condominium's own insurance policy. The director viewed the arrangement as personal financial gain and sought the state-law rules governing board conflicts.</t>
  </si>
  <si>
    <t>First-person board-member insurance self-dealing concern</t>
  </si>
  <si>
    <t>Board member conflict of interest</t>
  </si>
  <si>
    <t>High-value insurance verification lead</t>
  </si>
  <si>
    <t>The source establishes the director's account of the dual role but not whether the arrangement was disclosed, competitively bid, approved under conflict procedures, or priced above market.</t>
  </si>
  <si>
    <t>E262</t>
  </si>
  <si>
    <t>Condo board / first-person complaint</t>
  </si>
  <si>
    <t>Unnamed condominium; unnamed property management company</t>
  </si>
  <si>
    <t>Property manager / management company / insurance claim administration</t>
  </si>
  <si>
    <t>INSURANCE — 10% management fee tied to insurance-claim amount</t>
  </si>
  <si>
    <t>A condo board member said the property manager emailed the board stating that management would charge 10% of the total insurance claim for handling a major water-loss claim. The board member also described prior concerns about management recommending expensive consultants and not providing requested information.</t>
  </si>
  <si>
    <t>10% of total insurance claim; underlying loss described as potentially tens or hundreds of thousands of dollars</t>
  </si>
  <si>
    <t>First-person board complaint / management fee communicated by email</t>
  </si>
  <si>
    <t>Is a 10% fee standard for an insurance claim? [condo] [MA]</t>
  </si>
  <si>
    <t>Complaint-level insurance incentive mechanism</t>
  </si>
  <si>
    <t>This is a board member's account, not proof of wrongdoing. A percentage fee for legitimate project/claim administration may be contractually permitted; the research relevance is that management compensation rises with the size of the claim. The source does not identify the management company.</t>
  </si>
  <si>
    <t>E279</t>
  </si>
  <si>
    <t>Board Member / Homeowner</t>
  </si>
  <si>
    <t>Association participant / first-person management-fee complaint</t>
  </si>
  <si>
    <t>Unnamed HOA; unnamed management company</t>
  </si>
  <si>
    <t>Management company / vendor repair invoices</t>
  </si>
  <si>
    <t>PROCUREMENT / MARKUP — management adds 10% to every repair invoice</t>
  </si>
  <si>
    <t>An association participant said their management company handled invoicing but added an additional 10% markup to every repair invoice. The participant questioned what management was doing to justify a percentage charge on top of the contractor's price, particularly while the association was accumulating cash for future major projects.</t>
  </si>
  <si>
    <t>10% additional management markup on repair invoices</t>
  </si>
  <si>
    <t>First-person association complaint / explicit fee mechanism</t>
  </si>
  <si>
    <t>Property Manager - are they all this bad?</t>
  </si>
  <si>
    <t>Complaint-level explicit management markup mechanism</t>
  </si>
  <si>
    <t>No allegation that the 10% markup was hidden or unlawful; another participant advised reviewing the management contract. Included because it is a direct report of management compensation increasing with vendor repair spending.</t>
  </si>
  <si>
    <t>E280</t>
  </si>
  <si>
    <t>Board Member / Industry Participant</t>
  </si>
  <si>
    <t>Board/community banking discussion with manager participation</t>
  </si>
  <si>
    <t>Unnamed HOA; unnamed property management company; unnamed HOA-specialty banks</t>
  </si>
  <si>
    <t>Management company / HOA bank selection / association deposits</t>
  </si>
  <si>
    <t>BANKING — management contract limits bank choices; claims of earnings/vendor credits and fees for non-integrated banks</t>
  </si>
  <si>
    <t>In a board-level discussion about moving HOA reserves for better yield, participants described management companies limiting associations to a small set of banks. One participant alleged 'earnings credits' or 'vendor credits' incentivized management placement of HOA funds. A self-identified community manager responded that their own contract explicitly specified which banks the company worked with, while another participant described management fees for using non-integrated banks.</t>
  </si>
  <si>
    <t>No specific dollar amount; mechanism concerns bank-selection limits, credits and extra fees</t>
  </si>
  <si>
    <t>First-person board/manager industry discussion / allegation and contract-practice description</t>
  </si>
  <si>
    <t>Bank limitations with property management company</t>
  </si>
  <si>
    <t>High-value complaint/mechanism banking record</t>
  </si>
  <si>
    <t>The earnings-credit allegation is not independently proven by this thread and was disputed by another manager. The record is valuable because a self-identified manager separately confirmed that management contracts can specify approved banks and participants described fees for non-integrated banks.</t>
  </si>
  <si>
    <t>E281</t>
  </si>
  <si>
    <t>Board Member / Former Board Member</t>
  </si>
  <si>
    <t>Former association president / invoice-review complaint</t>
  </si>
  <si>
    <t>Unnamed condominium; unnamed major vendor; unnamed management company</t>
  </si>
  <si>
    <t>Association management / major vendor / subcontractor invoices</t>
  </si>
  <si>
    <t>PROCUREMENT / MARKUP — former president says major vendor adds 30% on subcontractors plus overhead/profit</t>
  </si>
  <si>
    <t>A former condominium board president seeking financial records said a major association vendor added a 30% markup to subcontractor charges, plus separate overhead/profit and labor for making the vendor call. The poster said they wanted invoices to quantify how much the markup had cost the association over several years.</t>
  </si>
  <si>
    <t>30% markup on subcontractor charges, plus additional overhead/profit and labor described</t>
  </si>
  <si>
    <t>First-person former-board complaint / invoice-pricing mechanism</t>
  </si>
  <si>
    <t>Board Gone Wild Suspicion Growing [WA] [Condo]</t>
  </si>
  <si>
    <t>Complaint-level project/vendor pricing record</t>
  </si>
  <si>
    <t>The source does not establish that management received the 30% or that the markup was unlawful; the markup was attributed to a major vendor. Included because the former president was seeking invoices to measure repeated association costs and the matter involved management/vendor oversight.</t>
  </si>
  <si>
    <t>E059</t>
  </si>
  <si>
    <t>Greynolds Park Club Condominium Association; Maria Del Carmen Alvarez-Concepcion</t>
  </si>
  <si>
    <t>Condo association / building manager</t>
  </si>
  <si>
    <t>Vendor forced to pay kickbacks to retain association work</t>
  </si>
  <si>
    <t>A board member reported concerns to law enforcement; a contracted vendor then told detectives the building manager repeatedly solicited and accepted kickbacks to keep the vendor's association business.</t>
  </si>
  <si>
    <t>About $19,910-$21,000 in alleged cash/Zelle kickbacks; 37 kickback/solicitation counts reported</t>
  </si>
  <si>
    <t>Local10 / Miami-Dade investigation</t>
  </si>
  <si>
    <t>Miami-Dade condo building manager accused of soliciting, accepting kickback payments</t>
  </si>
  <si>
    <t>Criminal charges/allegations; defendant is entitled to presumption of innocence unless and until adjudicated. News report says vendor corroborated the board member's report.</t>
  </si>
  <si>
    <t>E060</t>
  </si>
  <si>
    <t>Board member / whistleblower</t>
  </si>
  <si>
    <t>Euclid East Condominium; JLH Repair LLC; Elite Builders US LLC; Francisco Obispo; Jose Luis Hernandez-Aguiar</t>
  </si>
  <si>
    <t>Condo / manager / maintenance worker / contractors</t>
  </si>
  <si>
    <t>Pay-to-play, inflated invoices and kickbacks</t>
  </si>
  <si>
    <t>A board member identified financial discrepancies. Prosecutors allege association construction payments were followed by payments back to the property manager and that inflated invoices funded kickbacks.</t>
  </si>
  <si>
    <t>About $370,000 paid to JLH Repair; prosecutors alleged tens of thousands flowed back; state newsletter says $54,625 of $155,934 across 13 identified transactions went to Obispo</t>
  </si>
  <si>
    <t>Miami-Dade State Attorney</t>
  </si>
  <si>
    <t>Miami SAO Newsletter - February 2026</t>
  </si>
  <si>
    <t>Charges/allegations are not convictions. Preserve the distinction between alleged invoice inflation and proven facts.</t>
  </si>
  <si>
    <t>E061</t>
  </si>
  <si>
    <t>Condo association president</t>
  </si>
  <si>
    <t>Blue Condominium Association; The Tile Empire; Jadore Cosmetics; Ben Dvir</t>
  </si>
  <si>
    <t>Condo / board president / vendor / related company</t>
  </si>
  <si>
    <t>Vendor kickback and invoice-markup scheme</t>
  </si>
  <si>
    <t>Police accused the former condo president of receiving vendor kickbacks and using a company owned by his mother-in-law to conceal the arrangement; detectives alleged vendor invoices were marked up to divert association funds.</t>
  </si>
  <si>
    <t>Nearly $33,000 allegedly paid by vendor to related company</t>
  </si>
  <si>
    <t>Local10</t>
  </si>
  <si>
    <t>Police: Man steals from Miami condo residents while serving as association president</t>
  </si>
  <si>
    <t>Arrest-report allegations; do not state guilt beyond adjudicated facts.</t>
  </si>
  <si>
    <t>E062</t>
  </si>
  <si>
    <t>Federal criminal case / multiple HOA conspirators</t>
  </si>
  <si>
    <t>Silver Lining Construction; multiple Las Vegas HOAs and property-management participants</t>
  </si>
  <si>
    <t>Construction company / property managers / HOA boards</t>
  </si>
  <si>
    <t>Fake competitor bids, inside information and paid steering</t>
  </si>
  <si>
    <t>Federal HOA fraud cases documented conspirators manipulating boards, creating fake competitor bids, using inside bid information, and paying property managers or others things of value to steer construction and legal work to co-conspirators.</t>
  </si>
  <si>
    <t>26 individuals pleaded guilty across the broader HOA fraud scheme; more than $8 million moved through accounts in the broader case</t>
  </si>
  <si>
    <t>Adjudicated / federal criminal-case evidence</t>
  </si>
  <si>
    <t>HOA Cases - Las Vegas fraudulent-control scheme</t>
  </si>
  <si>
    <t>This row represents the broader Las Vegas HOA conspiracy as one scheme, not 26 independent narratives. Individual defendants and communities should be broken out only if analytically needed.</t>
  </si>
  <si>
    <t>E063</t>
  </si>
  <si>
    <t>Property manager defendant / federal case</t>
  </si>
  <si>
    <t>Edgar Lugo; Silver Lining Construction; Las Vegas HOA communities</t>
  </si>
  <si>
    <t>Property manager / construction company</t>
  </si>
  <si>
    <t>Fake bids, inside information and payments for vendor steering</t>
  </si>
  <si>
    <t>Lugo admitted participating in a scheme in which co-conspirator managers used inside information and recommended designated contractors; fake competitor bids were used to make awards appear legitimate.</t>
  </si>
  <si>
    <t>Guilty plea to conspiracy to commit mail and wire fraud</t>
  </si>
  <si>
    <t>Adjudicated federal criminal evidence</t>
  </si>
  <si>
    <t>United States v. Edgar Lugo</t>
  </si>
  <si>
    <t>Adjudicated plea; this is part of the broader Las Vegas HOA scheme and should be flagged as same-case-family to avoid prevalence double counting.</t>
  </si>
  <si>
    <t>E064</t>
  </si>
  <si>
    <t>Lead property manager / superintendent / contractor</t>
  </si>
  <si>
    <t>Ranaldo Bennett; Jonathan Smith; Nathaniel Obedos</t>
  </si>
  <si>
    <t>Property manager / superintendent / contractor</t>
  </si>
  <si>
    <t>Steered work, grossly inflated invoices and kickbacks</t>
  </si>
  <si>
    <t>Federal prosecutors said repair work was steered to a contractor, invoices were falsified and grossly inflated, and excess payments funded kickbacks to the lead property manager and superintendent.</t>
  </si>
  <si>
    <t>Complex paid &gt;$1 million for work valued at ~$500,000; $460,000 kickbacks to Bennett and ~$30,000 to Smith reported</t>
  </si>
  <si>
    <t>Essex County Man Admits Wire Fraud in $470,000 Kickback Scheme Involving Jersey City Condo Complex</t>
  </si>
  <si>
    <t>Smith and Obedos pleaded guilty; DOJ reporting should be used for precise procedural status of each participant.</t>
  </si>
  <si>
    <t>E067</t>
  </si>
  <si>
    <t>Property manager / federal defendant</t>
  </si>
  <si>
    <t>A.P. Gold Realty &amp; Management Inc.; Alan P. Gold</t>
  </si>
  <si>
    <t>Property management company / owner</t>
  </si>
  <si>
    <t>Management overbilling and fraudulent account statements</t>
  </si>
  <si>
    <t>Federal prosecutors charged a property manager with repeatedly billing monthly management fees, taking larger unauthorized reserve checks, and furnishing false statements to conceal account balances.</t>
  </si>
  <si>
    <t>About $154,271 alleged from one condo association; additional $750,000 suspected across eight others</t>
  </si>
  <si>
    <t>Federal criminal charge</t>
  </si>
  <si>
    <t>Property Manager Charged with Fraudulently Pocketing Fees from Chicago Condominium Association</t>
  </si>
  <si>
    <t>Complaint-stage allegations in the cited release; presumption of innocence applies unless later adjudication is separately documented.</t>
  </si>
  <si>
    <t>E088</t>
  </si>
  <si>
    <t>Contractors / managing agents in guilty-plea case</t>
  </si>
  <si>
    <t>Air Master Window Systems; Martech Window Systems; Scientific Compactor Corp.; Marvin Gold Management</t>
  </si>
  <si>
    <t>Contractors / managing agent</t>
  </si>
  <si>
    <t>Bid rigging and kickbacks added to contract price</t>
  </si>
  <si>
    <t>Contractors pleaded guilty in a racketeering scheme involving window contracts at nine co-op/condo properties. Plea accounts described paying managing-agent kickbacks that were added to job prices and falsifying records to conceal them.</t>
  </si>
  <si>
    <t>More than $2 million fraud reported; &gt;$50,000 kickbacks added to one job; $1.5M and $150,000 restitution agreements reported</t>
  </si>
  <si>
    <t>Adjudicated guilty-plea evidence</t>
  </si>
  <si>
    <t>Contractors Plead Guilty</t>
  </si>
  <si>
    <t>This is one multi-building criminal scheme; do not count each affected property as an independent prevalence event unless separately coded as same-case-family.</t>
  </si>
  <si>
    <t>E092</t>
  </si>
  <si>
    <t>Federal defendant / developer controlling condo board</t>
  </si>
  <si>
    <t>The River Watch at City Centre Condominium Association; Parador Partners; Dellwood Associates; unnamed contractors</t>
  </si>
  <si>
    <t>Developer / board controller / management relationship / contractors</t>
  </si>
  <si>
    <t>Inflated special-assessment invoices and contractor kickbacks</t>
  </si>
  <si>
    <t>A Jacksonville businessman pleaded guilty after intentionally inflating condo special assessments and arranging for contractors to submit inflated invoices, with most of the excess kicked back to another company he controlled.</t>
  </si>
  <si>
    <t>$135,396.06 total fraud proceeds reported</t>
  </si>
  <si>
    <t>Adjudicated federal guilty-plea evidence</t>
  </si>
  <si>
    <t>Jacksonville Businessman Pleads Guilty To Fraud</t>
  </si>
  <si>
    <t>Federal guilty plea; strong direct example of inflated association invoices funding a related-company kickback.</t>
  </si>
  <si>
    <t>E095</t>
  </si>
  <si>
    <t>Property-management corruption prosecution history</t>
  </si>
  <si>
    <t>Multiple unnamed management firms, managing agents, vendors, architects, engineers and board members</t>
  </si>
  <si>
    <t>Management / vendors / professionals / boards</t>
  </si>
  <si>
    <t>Systematic vendor kickbacks and bid rigging</t>
  </si>
  <si>
    <t>A retrospective on Manhattan DA investigations reports vendors paid percentages of job costs to managers, directors, architects or others for access to co-op/condo business, with bid-rigging also identified.</t>
  </si>
  <si>
    <t>1994: 82 managing agents and 4 firms indicted; 1999: 59 individuals and 21 companies indicted; kickbacks reportedly raised affected building costs up to 10%</t>
  </si>
  <si>
    <t>Criminal-investigation historical evidence</t>
  </si>
  <si>
    <t>Arrests and Criminal Charges in Bribery Schemes Involving DOB and HPD</t>
  </si>
  <si>
    <t>High-priority contextual inclusion</t>
  </si>
  <si>
    <t>This is an aggregate historical scheme/context row, not an independent complaint. Do not combine its indictment counts with individual-case rows when estimating number of distinct events.</t>
  </si>
  <si>
    <t>E101</t>
  </si>
  <si>
    <t>Criminal prosecution / condo manager</t>
  </si>
  <si>
    <t>Condo manager / contractor</t>
  </si>
  <si>
    <t>Contractor kickbacks concealed from board</t>
  </si>
  <si>
    <t>Investigators alleged the building manager accepted concealed payments from a contractor working at the condominium. Reporting says the contractor paid the manager and the payments were not authorized by the association.</t>
  </si>
  <si>
    <t>$20,910 reported</t>
  </si>
  <si>
    <t>Miami Herald / CBS Miami</t>
  </si>
  <si>
    <t>North Miami Beach condo manager received kickbacks from contractor, deputies say</t>
  </si>
  <si>
    <t>Same case family as E059; use only one record when counting distinct incidents. Arrest-stage allegations unless later adjudication is documented.</t>
  </si>
  <si>
    <t>E108</t>
  </si>
  <si>
    <t>Assistant State Attorney describing condo fraud complaints</t>
  </si>
  <si>
    <t>Unnamed condo boards / contractors</t>
  </si>
  <si>
    <t>Board members / contractors</t>
  </si>
  <si>
    <t>Contractor kickbacks and free personal work described by prosecutor</t>
  </si>
  <si>
    <t>Miami-Dade Assistant State Attorney John Perikles described contractor kickbacks as a common way corrupt condo board members enrich themselves, including demands for free work and a case in which a board member allegedly asked a contractor to overcharge the association and funnel the excess back.</t>
  </si>
  <si>
    <t>$50,000 overcharge/kickback example</t>
  </si>
  <si>
    <t>Prosecutor statement based on enforcement experience</t>
  </si>
  <si>
    <t>The Florida Bar</t>
  </si>
  <si>
    <t>Despite recent reforms some call for more condo association restrictions</t>
  </si>
  <si>
    <t>High-value contextual complaint evidence</t>
  </si>
  <si>
    <t>This is prosecutor-reported enforcement experience, not a named case. Keep separate from individual complaint counts when estimating distinct incidents.</t>
  </si>
  <si>
    <t>E134</t>
  </si>
  <si>
    <t>Board president / association manager complaint source</t>
  </si>
  <si>
    <t>Condo manager / vendor</t>
  </si>
  <si>
    <t>Vendor allegedly forced to pay kickbacks to keep association business</t>
  </si>
  <si>
    <t>A board member's report triggered an investigation in which a contracted vendor told detectives the condo manager repeatedly required cash and Zelle kickbacks to continue receiving work at the property.</t>
  </si>
  <si>
    <t>Approximately $21,000 alleged; 37 kickback/solicitation counts reported</t>
  </si>
  <si>
    <t>Miami-Dade Sheriff's Office</t>
  </si>
  <si>
    <t>Condominium Association Manager Arrested</t>
  </si>
  <si>
    <t>Same case family as the existing Greynolds Park record; preserve as stronger primary-source support but do not double-count the incident.</t>
  </si>
  <si>
    <t>E136</t>
  </si>
  <si>
    <t>Homeowners / police complainants</t>
  </si>
  <si>
    <t>Westwind Lakes Garden Homes Condominium Association; Idoris Pedroso; Yasnely Pedroso; Yoel Fernandez</t>
  </si>
  <si>
    <t>Board members / family associate / contractor payee</t>
  </si>
  <si>
    <t>Fraudulent invoices allegedly used to conceal payments for repairs never performed</t>
  </si>
  <si>
    <t>Police accused three people tied to the condo board of taking about $42,000 through payments purportedly for contractual repairs that were never performed, with fraudulent vendor invoices allegedly solicited to justify the distributions.</t>
  </si>
  <si>
    <t>$42,000</t>
  </si>
  <si>
    <t>3 accused of stealing $42,000 from Miami-Dade condo association</t>
  </si>
  <si>
    <t>Criminal allegations; presumption of innocence applies absent adjudication.</t>
  </si>
  <si>
    <t>E138</t>
  </si>
  <si>
    <t>Former HOA president</t>
  </si>
  <si>
    <t>Marquis Villas; Gerald Deangelo</t>
  </si>
  <si>
    <t>Board president / purported contractors</t>
  </si>
  <si>
    <t>Fake contractor invoices for work apparently never done</t>
  </si>
  <si>
    <t>Police said a former HOA president withdrew association funds and later produced fabricated invoices purportedly documenting contractor work; investigators found nearly all association funds had been withdrawn when he was removed.</t>
  </si>
  <si>
    <t>Nearly $19,000 ATM withdrawals documented in report</t>
  </si>
  <si>
    <t>Miami-Dade HOA president arrested in alleged theft, misappropriation of association funds</t>
  </si>
  <si>
    <t>Arrest-stage allegations; no guilt should be inferred absent later adjudication.</t>
  </si>
  <si>
    <t>E139</t>
  </si>
  <si>
    <t>Condo manager / criminal defendant</t>
  </si>
  <si>
    <t>Unnamed Brickell condominium; Yissely Herrouet; friends and relatives</t>
  </si>
  <si>
    <t>Condo manager / related-party workers/vendors</t>
  </si>
  <si>
    <t>Friends and family allegedly placed in phantom or redundant paid jobs</t>
  </si>
  <si>
    <t>Prosecutors alleged a former Brickell condo manager put friends and relatives, including her mother, aunt and cousin, on association payroll for jobs never completed or work already being performed by other contractors.</t>
  </si>
  <si>
    <t>More than $140,000 alleged</t>
  </si>
  <si>
    <t>Miami Herald</t>
  </si>
  <si>
    <t>Brickell condo manager accused of stealing $142K</t>
  </si>
  <si>
    <t>Criminal charges/allegations; presumption of innocence applies.</t>
  </si>
  <si>
    <t>E140</t>
  </si>
  <si>
    <t>HOA manager / criminal defendant</t>
  </si>
  <si>
    <t>Lakewood Forest Homeowners' Association; Sheisha Sparrow</t>
  </si>
  <si>
    <t>HOA manager</t>
  </si>
  <si>
    <t>Manager allegedly used association/company accounts for personal expenses</t>
  </si>
  <si>
    <t>A new general manager found unopened bank statements and unauthorized credit-card transactions; prosecutors alleged the former HOA manager used funds for personal Amazon, Cash App, DoorDash, utility and phone expenses.</t>
  </si>
  <si>
    <t>$53,630.77 alleged unauthorized transactions</t>
  </si>
  <si>
    <t>ABC13 Houston</t>
  </si>
  <si>
    <t>Former HOA manager charged after allegedly using money meant for association for herself</t>
  </si>
  <si>
    <t>This is theft/financial abuse rather than vendor pay-to-play; retained because it was discovered through association financial review and falls within the fraud side of the agreed scope.</t>
  </si>
  <si>
    <t>E144</t>
  </si>
  <si>
    <t>Federal criminal case / lead property manager</t>
  </si>
  <si>
    <t>Steered repair work, grossly inflated invoices and kickbacks</t>
  </si>
  <si>
    <t>Federal prosecutors documented a scheme in which maintenance work was steered to a contractor, fake invoices grossly inflated work value, and excess payments were returned as kickbacks to the lead property manager and superintendent.</t>
  </si>
  <si>
    <t>Complex paid &gt;$1M for ~$500K work; $460K kickbacks to Bennett and &gt;$10,700 to Smith</t>
  </si>
  <si>
    <t>Lead Property Manager Admits Conspiracy to Commit Wire Fraud in $470,000 Kickback Scheme</t>
  </si>
  <si>
    <t>Same Jersey City scheme family as an existing record; use as stronger primary-source evidence but not as a second incident.</t>
  </si>
  <si>
    <t>E147</t>
  </si>
  <si>
    <t>Criminal case / former board president</t>
  </si>
  <si>
    <t>Turnberry on the Green; Gregori Arzoumanov; Yuka Security / Yuka Corp.</t>
  </si>
  <si>
    <t>Board president / self-owned vendor</t>
  </si>
  <si>
    <t>President allegedly used undisclosed self-owned vendor and billed association for services</t>
  </si>
  <si>
    <t>Investigators alleged the longtime condo president caused the association to pay a company he solely owned for insurance/security-related services and also billed for pool cleaning while another company was already being paid for that work.</t>
  </si>
  <si>
    <t>More than $1.5M overall alleged scheme; ~$13K insurance + ~$25K security to Yuka; ~$40K pool-service profit alleged</t>
  </si>
  <si>
    <t>Aventura condo board president charged in $1.5M scheme</t>
  </si>
  <si>
    <t>Arrest-warrant allegations; no guilt should be inferred absent adjudication.</t>
  </si>
  <si>
    <t>E148</t>
  </si>
  <si>
    <t>Criminal case / former board members and vendor</t>
  </si>
  <si>
    <t>The Hammocks Community Association; Deco Enterprises; Ivan Dario Diez</t>
  </si>
  <si>
    <t>Board insiders / vendor</t>
  </si>
  <si>
    <t>Vendor allegedly billed HOA for nonexistent work including phantom hurricane cleanup</t>
  </si>
  <si>
    <t>Prosecutors alleged a relative of former HOA leadership acquired a company shortly before it began billing the association, receiving nearly $172,000 for little or no work, including cleanup after a hurricane that did not occur.</t>
  </si>
  <si>
    <t>Nearly $172,000 in five months; ~$124,000 cash withdrawals reported</t>
  </si>
  <si>
    <t>Man charged with bilking homeowners out of thousands at state's largest HOA</t>
  </si>
  <si>
    <t>High-priority case-family detail</t>
  </si>
  <si>
    <t>Same Hammocks criminal scheme family; useful mechanism detail but do not count as an independent association incident.</t>
  </si>
  <si>
    <t>E149</t>
  </si>
  <si>
    <t>Criminal case / HOA accountant</t>
  </si>
  <si>
    <t>The Hammocks Community Association; Jesus Cue; Worldwide Business Solution Corp.; Albri Consulting; Aya Service and Repair; Kaissen Technology</t>
  </si>
  <si>
    <t>Accountant / shell vendors / board relatives</t>
  </si>
  <si>
    <t>Accountant allegedly helped funnel HOA money through fake companies tied to insiders</t>
  </si>
  <si>
    <t>Prosecutors alleged the Hammocks accountant helped channel association funds to friends and relatives through fake companies for purported vendor services.</t>
  </si>
  <si>
    <t>Three companies reportedly received nearly $500,000; accountant received about $644,000 from HOA over four years</t>
  </si>
  <si>
    <t>Miami-Dade accountant arrested in Hammocks HOA theft scheme</t>
  </si>
  <si>
    <t>Same Hammocks scheme family; do not count as a separate association incident.</t>
  </si>
  <si>
    <t>E150</t>
  </si>
  <si>
    <t>Criminal case / former board leadership</t>
  </si>
  <si>
    <t>The Hammocks Community Association; Marglli Gallego; Jose Gonzalez; insider vendors</t>
  </si>
  <si>
    <t>Guilty pleas in large HOA fraud involving overbilled/no-work vendor payments</t>
  </si>
  <si>
    <t>Former Hammocks president Marglli Gallego pleaded guilty in 2026; prosecutors said her husband received more than $1 million for overbilled work or work never performed as part of the larger association fraud.</t>
  </si>
  <si>
    <t>More than $11M later reported diverted in overall scheme; &gt;$1M to husband for overbilled/no-work services</t>
  </si>
  <si>
    <t>Adjudicated guilty-plea / criminal-case evidence</t>
  </si>
  <si>
    <t>Former Hammocks HOA president, husband plead guilty in massive fraud case</t>
  </si>
  <si>
    <t>Same Hammocks scheme family. Gallego's guilty plea is adjudicated; distinguish other defendants' procedural status.</t>
  </si>
  <si>
    <t>E162</t>
  </si>
  <si>
    <t>Law-enforcement / prosecution case</t>
  </si>
  <si>
    <t>Blue Condominium Association; Ben Dvir; Tile Empire 9; Jadore Cosmetic LLC</t>
  </si>
  <si>
    <t>Vendor invoice markup diverted to president's related company</t>
  </si>
  <si>
    <t>Police alleged the former condo president instructed a tile vendor to mark up invoices by roughly 50% and send the markup as a commission to his mother-in-law's cosmetics company, where he was an authorized signer.</t>
  </si>
  <si>
    <t>$32,905.66 alleged commission; invoices marked up ~50%</t>
  </si>
  <si>
    <t>NBC 6 South Florida</t>
  </si>
  <si>
    <t>Ex-president of Miami condo association arrested for grand theft</t>
  </si>
  <si>
    <t>Same Blue Condominium case family as existing record; stronger mechanism detail but not a separate incident.</t>
  </si>
  <si>
    <t>E163</t>
  </si>
  <si>
    <t>State criminal prosecution</t>
  </si>
  <si>
    <t>The Hammocks Community Association; Marglli Gallego; Jose Gonzalez; multiple shell vendors</t>
  </si>
  <si>
    <t>Board / related-party fake vendors</t>
  </si>
  <si>
    <t>Guilty plea confirms major HOA fraud built around fake vendors and overbilled/no-work contracts</t>
  </si>
  <si>
    <t>Former Hammocks president Gallego pleaded guilty and received prison/probation; prosecutors said her husband received more than $1 million for overbilled work or work never performed, within a scheme later reported at more than $11 million.</t>
  </si>
  <si>
    <t>&gt;$1M to husband; &gt;$11M overall scheme later reported</t>
  </si>
  <si>
    <t>Crime syndicate: Inside the Hammocks Fraud Guilty Pleas</t>
  </si>
  <si>
    <t>Same Hammocks association incident; use for corroboration/mechanism, not additional prevalence count.</t>
  </si>
  <si>
    <t>E168</t>
  </si>
  <si>
    <t>HOA / federal prosecution</t>
  </si>
  <si>
    <t>Park Point Loma Homeowner's Association; Cornerstone Management Professionals Inc.; Robert Walsh</t>
  </si>
  <si>
    <t>Property management company / manager / construction bidding</t>
  </si>
  <si>
    <t>Management company concealed lower contractor bids so its own bid appeared lowest</t>
  </si>
  <si>
    <t>Federal prosecutors charged, and later reporting documented guilty pleas by, the property manager and management firm for concealing lower construction bids so Cornerstone appeared to be the low bidder and could win HOA projects. The scheme also involved an asbestos-removal change order that prosecutors said defendants sought to retain without performing the abatement.</t>
  </si>
  <si>
    <t>$247,413 restitution reported; $247,000 scheme charged</t>
  </si>
  <si>
    <t>Adjudicated guilty-plea / federal procurement-fraud evidence</t>
  </si>
  <si>
    <t>Property Manager and Firm Charged with Defrauding Homeowners' Association of $247,000</t>
  </si>
  <si>
    <t>This is directly within scope: bid concealment/manipulation by the HOA's management firm for its own financial benefit. DOJ page is the charging source; later reporting documents guilty pleas and restitution.</t>
  </si>
  <si>
    <t>E169</t>
  </si>
  <si>
    <t>Condo owners / criminal prosecution</t>
  </si>
  <si>
    <t>Parker Plaza Estates; Robert Hittner; Joseph Greenberg; Ira Silver; Angel Ramos</t>
  </si>
  <si>
    <t>Condo manager / board president / maintenance supervisor / contractor</t>
  </si>
  <si>
    <t>Contract prices intentionally inflated and contractors required to return the difference as kickbacks</t>
  </si>
  <si>
    <t>Unit owners uncovered financial discrepancies while investigating a proposed $14.3 million assessment. Prosecutors said the manager, former board president, maintenance supervisor and plumbing contractor intentionally inflated repair costs and required contractors to pay back the difference. Hittner later pleaded guilty and was sentenced to 10 years; other defendants also entered pleas.</t>
  </si>
  <si>
    <t>More than $3 million loss reported; proposed $14.3 million assessment triggered owner review; $250,000 and $400,000 restitution reported from two co-defendants</t>
  </si>
  <si>
    <t>Adjudicated criminal kickback scheme discovered by owners</t>
  </si>
  <si>
    <t>Sun Sentinel reporting archived by CCFJ</t>
  </si>
  <si>
    <t>Former Hallandale Beach condo manager pleads guilty in kickback scheme</t>
  </si>
  <si>
    <t>Strong fit: owners' review of a large assessment exposed an organized contractor-kickback mechanism. Treat all Parker Plaza sources/defendants as one underlying association incident.</t>
  </si>
  <si>
    <t>E237</t>
  </si>
  <si>
    <t>HOA financial manager criminal case</t>
  </si>
  <si>
    <t>Minnesota / California</t>
  </si>
  <si>
    <t>Mai Houa Xiong; unnamed Minneapolis property management company; multiple HOA clients</t>
  </si>
  <si>
    <t>Property-management financial manager / HOA bank accounts</t>
  </si>
  <si>
    <t>Financial manager pleads guilty and is sentenced after embezzling more than $1M from HOA-related accounts</t>
  </si>
  <si>
    <t>Federal court records say Mai Houa Xiong, a financial manager for a Minneapolis property-management company serving HOAs, used her access to association financials, bank accounts, vendor payments and bookkeeping systems to divert funds to herself, disguise transfers as legitimate HOA expenses and continue accessing funds after termination. She pleaded guilty and was later sentenced.</t>
  </si>
  <si>
    <t>$1,791,334.81 restitution; more than $1M embezzled</t>
  </si>
  <si>
    <t>Federal guilty plea and sentencing / HOA financial-account fraud</t>
  </si>
  <si>
    <t>U.S. Department of Justice - District of Minnesota</t>
  </si>
  <si>
    <t>California Woman Sentenced to Prison for Embezzling More Than $1 Million from Employer</t>
  </si>
  <si>
    <t>Highest-priority proven case</t>
  </si>
  <si>
    <t>Proven criminal case. The direct victim named by DOJ is the employer/property-management company, but the scheme involved accounts and funds of HOA clients; keep that distinction explicit.</t>
  </si>
  <si>
    <t>E243</t>
  </si>
  <si>
    <t>Condominium property manager criminal charges</t>
  </si>
  <si>
    <t>Admirals Port Condominium; Donovan Michael Staley; Castle Group; electrical contractor</t>
  </si>
  <si>
    <t>Property manager / management company employer / contractor</t>
  </si>
  <si>
    <t>Kickback demand / invoice padding / alleged theft</t>
  </si>
  <si>
    <t>Police alleged the condominium manager took a contractor's $12,800 electrical estimate, sought to raise it to $18,800, and demanded the $6,000 difference in return for securing the job and future work; he was also accused of taking laundry-machine cash.</t>
  </si>
  <si>
    <t>$12,800 estimate raised to $18,800; alleged $6,000 kickback</t>
  </si>
  <si>
    <t>Criminal charges / police investigation with quantified contractor allegation</t>
  </si>
  <si>
    <t>NBC Miami / local law-enforcement reporting</t>
  </si>
  <si>
    <t>Aventura Condo Manager Arrested in Kickback Scheme</t>
  </si>
  <si>
    <t>High-priority charged manager kickback case</t>
  </si>
  <si>
    <t>Arrest and charges are allegations, not a conviction. Castle Group is identified as the manager's employer; the source does not establish company-level participation.</t>
  </si>
  <si>
    <t>E250</t>
  </si>
  <si>
    <t>Property-management company owner / criminal charges</t>
  </si>
  <si>
    <t>Windmill Lakes Condominium; Michael Christopher Curtis; BDM Property Management LLC; Private Parking Managers Inc.; All Florida Rental Management LLC</t>
  </si>
  <si>
    <t>Property manager / management-company owner / HOA financial control</t>
  </si>
  <si>
    <t>Management fraud / forged checks and HOA documents / fabricated management fees / insurance-disaster funds</t>
  </si>
  <si>
    <t>Pembroke Pines Police said a multi-year fraud investigation found property-management irregularities, lapsed insurance coverage, missing or improper board elections, and a forgery scheme involving association funds. Police alleged BDM Property Management registered agent Michael Curtis forged signatures on more than 350 checks and legal documents and fabricated $46,000 in management fees tied to a hurricane-disaster insurance payment.</t>
  </si>
  <si>
    <t>Nearly $600,000 allegedly unlawfully obtained; police said other unauthorized payments could exceed $1,000,000; $46,000 alleged fabricated management fees</t>
  </si>
  <si>
    <t>Police investigation / arrest warrant / quantified alleged management-company fraud</t>
  </si>
  <si>
    <t>Pembroke Pines Police Department</t>
  </si>
  <si>
    <t>Media Release — Grand Theft 1st Degree &amp; Criminal Use of Personal Identifiable Information</t>
  </si>
  <si>
    <t>Highest-priority pending criminal manager case</t>
  </si>
  <si>
    <t>Charges and police allegations are not convictions. Police identify Curtis as BDM Property Management's registered agent and expressly date the Windmill Lakes conduct to 2021-2025.</t>
  </si>
  <si>
    <t>E251</t>
  </si>
  <si>
    <t>Property-management bookkeeper / pending criminal case</t>
  </si>
  <si>
    <t>Whitemarsh Reserve HOA; The Dunes of Hutchinson Island; Alexandra Delacaridad Gonzalez; Avant-Garde Property Management</t>
  </si>
  <si>
    <t>Property-management bookkeeper / HOA account access</t>
  </si>
  <si>
    <t>Management fraud / fake invoices / false ledgers / forged signatures / self-payments</t>
  </si>
  <si>
    <t>Martin County investigators alleged that Gonzalez, while working as a property-management bookkeeper for Avant-Garde Property Management, wrote checks to herself from HOA accounts, concealed the payments using fictitious invoices and false ledger entries, and forged authorized signatures. The two identified associations discovered the suspected losses and reported them.</t>
  </si>
  <si>
    <t>Nearly $200,000 alleged in later arrest reporting; warrant listed 124 felony counts and $1.35M bond</t>
  </si>
  <si>
    <t>Law-enforcement investigation / warrant and arrest / board-discovered financial irregularities</t>
  </si>
  <si>
    <t>WFLX / Martin County Sheriff's Office reporting</t>
  </si>
  <si>
    <t>Warrant issued for property manager accused of embezzling thousands from Martin County HOAs</t>
  </si>
  <si>
    <t>Highest-priority pending criminal management case</t>
  </si>
  <si>
    <t>Allegations remain pending. WFLX attributes the allegations and charge counts to the Martin County Sheriff's Office. The source dates the alleged personal-use expenditures from February 2025 through January 2026.</t>
  </si>
  <si>
    <t>E252</t>
  </si>
  <si>
    <t>Management-company accounting manager / criminal charges</t>
  </si>
  <si>
    <t>First Choice Association Management; Jamie Fonville; 58 HOA clients</t>
  </si>
  <si>
    <t>Management-company accounting manager / HOA bank accounts and check authority</t>
  </si>
  <si>
    <t>Management fraud / manufactured checks / direct diversion from multiple HOA accounts</t>
  </si>
  <si>
    <t>Pinellas County Sheriff's detectives said Fonville, First Choice Association Management's accounting manager, managed bank accounts and issued checks for 58 HOAs. Investigators alleged she manufactured fraudulent checks using HOA account information and deposited them into her own account. After the initial arrest, 13 additional victims came forward.</t>
  </si>
  <si>
    <t>$754,734.44 combined reported loss after additional victims; initial alleged loss $228,300.83</t>
  </si>
  <si>
    <t>Sheriff's Office criminal investigation / multiple felony scheme-to-defraud charges</t>
  </si>
  <si>
    <t>Pinellas County Sheriff's Office</t>
  </si>
  <si>
    <t>Detectives Arrest Tarpon Springs Woman for Scheme to Defraud — Additional Charges Added</t>
  </si>
  <si>
    <t>Highest-priority charged management-company accounting case</t>
  </si>
  <si>
    <t>Criminal charges are not a conviction. The Sheriff's Office identifies the management-company role, 58 HOA accounts under her responsibility, and the combined reported losses. Exact start year of the alleged conduct is not stated in this release.</t>
  </si>
  <si>
    <t>E254</t>
  </si>
  <si>
    <t>Condominium manager / criminal conviction</t>
  </si>
  <si>
    <t>Sand Cay Homeowners Association; Judy Paul</t>
  </si>
  <si>
    <t>On-site condominium manager / association funds</t>
  </si>
  <si>
    <t>Manager embezzlement / self-issued checks / audit discovery</t>
  </si>
  <si>
    <t>A routine audit uncovered inconsistencies at Sand Cay, and former manager Judy Paul was later convicted of grand theft and scheming to defraud. Reporting states that checks totaling more than $200,000 were deposited into her personal account during the three-and-a-half years she worked at the association; board testimony said she wrote the first check to herself seven days after being hired.</t>
  </si>
  <si>
    <t>More than $200,000 stolen; $200,000 restitution ordered</t>
  </si>
  <si>
    <t>Criminal conviction affirmed on appeal / audit-discovered association theft</t>
  </si>
  <si>
    <t>Your Observer</t>
  </si>
  <si>
    <t>Former Key condo manager ordered to begin three-year sentence</t>
  </si>
  <si>
    <t>Highest-priority proven manager fraud case</t>
  </si>
  <si>
    <t>Conviction. The source says Paul was fired in 2010 after a 2009 audit and that the conduct spanned her approximately 3.5-year tenure. Conduct range is therefore recorded as approximately 2007-2010 rather than using the 2013 conviction or 2015 imprisonment date.</t>
  </si>
  <si>
    <t>E255</t>
  </si>
  <si>
    <t>Condominium association office manager / guilty plea</t>
  </si>
  <si>
    <t>The Club at Galloway Condominium Association; Ira Binder</t>
  </si>
  <si>
    <t>Association office manager / payroll and association funds</t>
  </si>
  <si>
    <t>Manager theft / self-overpayment over multiple years</t>
  </si>
  <si>
    <t>Ira Binder pleaded guilty after authorities said he overpaid himself from The Club at Galloway Condominium Association over a seven-year period while serving as office manager. The reported conduct ran from January 2010 through February 2017.</t>
  </si>
  <si>
    <t>$352,620 taken through alleged/self-admitted overpayments</t>
  </si>
  <si>
    <t>Guilty plea / quantified multi-year manager theft</t>
  </si>
  <si>
    <t>BreakingAC</t>
  </si>
  <si>
    <t>EHT man pleads guilty in $352K theft</t>
  </si>
  <si>
    <t>Highest-priority proven manager case</t>
  </si>
  <si>
    <t>Guilty plea. This is direct association-office-manager theft rather than a management-company vendor scheme, but it is retained because it documents a manager's long-term control and extraction from association funds.</t>
  </si>
  <si>
    <t>E258</t>
  </si>
  <si>
    <t>Management-company accounting director / guilty plea and sentence</t>
  </si>
  <si>
    <t>Encore Property Management; Jenev Boyd; HOA client accounts</t>
  </si>
  <si>
    <t>Management-company accounting director / vendor-payment systems</t>
  </si>
  <si>
    <t>Accounting-system manipulation / fake vendor payments / identity misuse</t>
  </si>
  <si>
    <t>DOJ said Boyd, Encore Property Management's long-time director of accounting, reactivated retired or inactive HOA client accounts, changed vendor information to her own name and address, and manipulated internal accounting software so payments to herself appeared to be legitimate vendor payments. She kept amounts similar to ordinary vendor payments to conceal the scheme.</t>
  </si>
  <si>
    <t>$780,810 restitution ordered; DOJ described nearly $1 million embezzled</t>
  </si>
  <si>
    <t>Federal guilty plea / prison sentence / restitution</t>
  </si>
  <si>
    <t>U.S. Attorney's Office, Central District of California</t>
  </si>
  <si>
    <t>Former Accounting Director for Corona Company Sentenced to Nearly 5 Years in Federal Prison for Embezzling Almost $1 Million</t>
  </si>
  <si>
    <t>Highest-priority proven management-company internal-control/vendor-payment case</t>
  </si>
  <si>
    <t>Conviction/guilty plea. DOJ dates the conduct from January 2012 through August 2020 and identifies Encore as a property-management company handling financial affairs for HOA clients.</t>
  </si>
  <si>
    <t>E259</t>
  </si>
  <si>
    <t>Condominium property manager / federal indictment</t>
  </si>
  <si>
    <t>Rhode Island</t>
  </si>
  <si>
    <t>River Island Condominium Association; Cheryl S. Sullivan</t>
  </si>
  <si>
    <t>Property manager / direct association bank-account access</t>
  </si>
  <si>
    <t>Manager fraud / debit-card withdrawals / personal use of association funds</t>
  </si>
  <si>
    <t>A federal indictment alleged that Sullivan, while acting as property manager for River Island Condominium Association, used a debit card tied to the association checking account to withdraw HOA funds for personal use, including ATM withdrawals at a casino. FBI and local police investigators estimated the alleged loss at approximately $46,500.</t>
  </si>
  <si>
    <t>Approximately $46,500 alleged</t>
  </si>
  <si>
    <t>Federal indictment / FBI investigation / not-guilty plea</t>
  </si>
  <si>
    <t>U.S. Attorney's Office, District of Rhode Island</t>
  </si>
  <si>
    <t>Massachusetts Town Official Indicted for Fraud in Role as Property Manager for a Woonsocket Condominium Association</t>
  </si>
  <si>
    <t>High-priority pending manager-fraud case</t>
  </si>
  <si>
    <t>Indictment is an accusation, not a conviction. DOJ states the alleged conduct began as early as February 2019.</t>
  </si>
  <si>
    <t>E260</t>
  </si>
  <si>
    <t>Board Member / Industry Source</t>
  </si>
  <si>
    <t>Property-management company owner / arrest and organized-fraud charges</t>
  </si>
  <si>
    <t>Quail Meadow HOA; Starling Court HOA; Scott Michael Brechbill; C &amp; M Property Management; Signature Property Management; AppFolio</t>
  </si>
  <si>
    <t>Management-company owner / HOA bank transfers / software and turnover records</t>
  </si>
  <si>
    <t>Management fraud / transfers to manager-company account / records withheld after termination / software-ledger investigation</t>
  </si>
  <si>
    <t>Board members reported missing funds and supplied bank statements showing large transfers between HOA accounts and C &amp; M. After C &amp; M was replaced, the successor manager reportedly said Brechbill had not turned over requested records. Investigators later obtained AppFolio ledgers and bank records; the complaint affidavit alleged hundreds of thousands of dollars were transferred from HOA accounts to Brechbill/C &amp; M accounts.</t>
  </si>
  <si>
    <t>More than $820,000 alleged transferred from Quail Meadow alone; charges included first-degree grand theft and organized fraud</t>
  </si>
  <si>
    <t>Board discovery / police investigation / arrest and criminal charges</t>
  </si>
  <si>
    <t>Siegfried Rivera summary of complaint affidavit / Treasure Coast reporting</t>
  </si>
  <si>
    <t>Arrest Over Alleged $800000 HOA Fraud Emblematic of Law Enforcement's New Mindset</t>
  </si>
  <si>
    <t>High-priority pending management-owner fraud case; successor-manager evidence trail</t>
  </si>
  <si>
    <t>Charges are not a conviction. The affidavit-based reporting describes investigators reviewing C &amp; M/AppFolio records from 2018 through 2023. This record is especially useful because a successor management company reportedly identified missing turnover records and boards supplied direct bank evidence.</t>
  </si>
  <si>
    <t>E261</t>
  </si>
  <si>
    <t>Management-company president / arrest after multiple HOA complaints</t>
  </si>
  <si>
    <t>Cambridge Estates HOA; Campus North HOA; Big Tree Lakes Property Owners Association; James Long; J&amp;L Management of North Florida</t>
  </si>
  <si>
    <t>Management-company president / HOA financial reporting and bank reconciliation</t>
  </si>
  <si>
    <t>Financial-report discrepancies / bank reconciliations inconsistent with bank statements / alleged grand theft</t>
  </si>
  <si>
    <t>Multiple HOA boards reported that reconciliation reports supplied by J&amp;L Management did not match transactions shown on official bank statements. Cambridge Estates had complained to Florida regulators as early as 2015; after a Big Tree Lakes board member identified discrepancies and contacted prosecutors, J&amp;L president James Long was arrested on grand-theft charges in 2019.</t>
  </si>
  <si>
    <t>Amount not reliably established in the sources reviewed for this record</t>
  </si>
  <si>
    <t>Multiple board complaints / regulatory complaint / state-attorney investigation / arrest</t>
  </si>
  <si>
    <t>First Coast News / contemporaneous reporting</t>
  </si>
  <si>
    <t>Jacksonville HOA manager arrested on charges of grand theft</t>
  </si>
  <si>
    <t>High-priority multi-association manager case; board members discovered the discrepancies</t>
  </si>
  <si>
    <t>Arrest/charges are not a conviction. Contemporary reporting says at least three associations had raised concerns or filed complaints since 2015. Conduct year is therefore recorded as 2015-2019 rather than merely the 2019 arrest date.</t>
  </si>
  <si>
    <t>E269</t>
  </si>
  <si>
    <t>Criminal prosecution / strata regulator</t>
  </si>
  <si>
    <t>New South Wales, Australia</t>
  </si>
  <si>
    <t>Network Strata Services Pty Ltd (Netstrata); Stephen John Brell; related-party service providers</t>
  </si>
  <si>
    <t>Large strata management company / director-licensee / related-party providers</t>
  </si>
  <si>
    <t>NON-U.S. COMPARATIVE — criminal prosecution alleging undisclosed financial benefits, conflicts, fiduciary failures and misleading information</t>
  </si>
  <si>
    <t>NSW Fair Trading commenced criminal proceedings in the Supreme Court of New South Wales against Netstrata and its Director and Licensee in Charge, Stephen John Brell. The regulator alleges breaches of statutory duties in managing strata schemes, including failure to adequately disclose or appropriately manage conflicts involving related-party service providers, receipt of profits through undisclosed financial benefits or other advantages, and provision of false or misleading information to Fair Trading.</t>
  </si>
  <si>
    <t>No single quantified loss stated in the prosecution release; Netstrata manages around 1,000 strata properties in NSW</t>
  </si>
  <si>
    <t>Criminal prosecution commenced by NSW Fair Trading / charges pending</t>
  </si>
  <si>
    <t>NSW Fair Trading</t>
  </si>
  <si>
    <t>NSW Fair Trading commences prosecution against Netstrata</t>
  </si>
  <si>
    <t>Highest-priority NON-U.S. comparative management-company prosecution</t>
  </si>
  <si>
    <t>Charges/allegations are not findings of guilt. Proceedings commenced in July 2026 and remain for determination by the Supreme Court of NSW. Exclude from U.S.-only prevalence analysis. This is distinct from earlier media/review coverage of Netstrata and should remain one underlying prosecution issue.</t>
  </si>
  <si>
    <t>Non-U.S. Comparative — Management / Conflicts / Criminal</t>
  </si>
  <si>
    <t>E270</t>
  </si>
  <si>
    <t>Industry-wide broker compliance review / formal breach determinations</t>
  </si>
  <si>
    <t>Australia</t>
  </si>
  <si>
    <t>Insurance Brokers Code Compliance Committee; seven unnamed strata insurance brokers; 1,088 strata-management representatives; ASIC; NSW Fair Trading</t>
  </si>
  <si>
    <t>Insurance brokers / strata managers acting as broker representatives / owners corporations</t>
  </si>
  <si>
    <t>NON-U.S. COMPARATIVE INSURANCE — systemic conflict, remuneration and disclosure failures across seven brokers</t>
  </si>
  <si>
    <t>The Insurance Brokers Code Compliance Committee reviewed seven brokers collectively using 1,088 representatives in strata management and issued nine formal breach determinations across all seven. The review found failures in representative agreements, conflict management and remuneration disclosure. Reported examples included two broker agreements requiring strata-manager representatives to solely promote the broker's interests, and an arrangement in which a strata management company wholly owned the broker it used and shared in that broker's profits without the broker recognising the arrangement as a conflict. Two brokers were referred to ASIC for consideration of conflict-management compliance under the Corporations Act, and concerns were also escalated to NSW Fair Trading.</t>
  </si>
  <si>
    <t>Seven brokers reviewed; 1,088 strata representatives; nine formal breach determinations; two brokerages referred to ASIC</t>
  </si>
  <si>
    <t>Independent industry-code compliance review / formal breach determinations / regulator referrals</t>
  </si>
  <si>
    <t>Insurance Brokers Code Compliance Committee</t>
  </si>
  <si>
    <t>Strengthening transparency and trust in broker-agent arrangements</t>
  </si>
  <si>
    <t>Highest-priority NON-U.S. systemic insurance/conflict review</t>
  </si>
  <si>
    <t>Do not characterize this as a finding that seven insurers committed fraud or that criminal charges were recommended. The review concerned seven insurance brokers, found Code breaches across all seven, and referred two firms to ASIC for consideration of possible non-compliance with statutory conflict-management requirements. Treat the seven-broker review as one systemic research record, not seven separate incidents, unless later source material establishes distinct underlying cases.</t>
  </si>
  <si>
    <t>Insurance — Non-U.S. Comparative / Systemic Review</t>
  </si>
  <si>
    <t>E285</t>
  </si>
  <si>
    <t>Property manager / federal guilty plea</t>
  </si>
  <si>
    <t>David Luke Lane; numerous unnamed homeowners associations; Community Bank of Mississippi</t>
  </si>
  <si>
    <t>Independent property manager / direct HOA bank-account and financial control</t>
  </si>
  <si>
    <t>MANAGER FRAUD — unauthorized HOA withdrawals and false bank representations</t>
  </si>
  <si>
    <t>Federal prosecutors said David Luke Lane contracted with multiple HOAs to manage their properties and money, including keeping each association's funds in designated bank accounts for the association's sole benefit. Lane pleaded guilty to bank fraud after admitting he made unauthorized withdrawals from numerous HOA accounts, converted the money to his own use and falsely represented to the bank that he was authorized to make the withdrawals.</t>
  </si>
  <si>
    <t>More than $2 million taken from HOAs, according to DOJ</t>
  </si>
  <si>
    <t>Federal guilty plea / quantified multi-association fraud</t>
  </si>
  <si>
    <t>U.S. Attorney's Office, Southern District of Mississippi</t>
  </si>
  <si>
    <t>Property Manager Pleads Guilty in Homeowner Association Fraud Case</t>
  </si>
  <si>
    <t>Highest-priority proven direct-manager fraud case</t>
  </si>
  <si>
    <t>Guilty plea. This is direct fraud by the property manager against HOA clients, not a case where an unrelated management company was the victim. DOJ did not provide a precise start year for the underlying withdrawals in the plea release, so conduct year remains Unknown rather than using the 2021 plea date as the conduct date.</t>
  </si>
  <si>
    <t>E286</t>
  </si>
  <si>
    <t>HOA + property-management company / federal Fair Housing settlement</t>
  </si>
  <si>
    <t>Greenbrier Village Homeowners Association; Gassen Company Inc.; Diane Brown</t>
  </si>
  <si>
    <t>HOA / contracted property-management company / onsite manager</t>
  </si>
  <si>
    <t>GOVERNANCE / MANAGEMENT PRACTICES — management company participated in allegedly discriminatory rule creation and enforcement</t>
  </si>
  <si>
    <t>The United States alleged Greenbrier Village HOA, property-management company Gassen Company and a Gassen employee engaged in a pattern of familial-status discrimination by creating and enforcing common-area rules that restricted children, required adult supervision and selectively issued warnings and violations to families with children. A 2015 consent order resolved the case.</t>
  </si>
  <si>
    <t>$100,000 total settlement to six families, plus civil penalty and policy/training requirements</t>
  </si>
  <si>
    <t>DOJ Fair Housing lawsuit / consent order settlement</t>
  </si>
  <si>
    <t>United States v. Greenbrier Homeowners Association</t>
  </si>
  <si>
    <t>High-priority management-company defendant / governance-practices case</t>
  </si>
  <si>
    <t>Settlement/consent order; allegations were resolved without this database treating them as a criminal conviction. Included because the property-management company and onsite manager were direct defendants alleged to have participated in the challenged HOA enforcement practices.</t>
  </si>
  <si>
    <t>E387</t>
  </si>
  <si>
    <t>Industry Professional / Federal Criminal Case</t>
  </si>
  <si>
    <t>Former on-site community manager employed by management company</t>
  </si>
  <si>
    <t>FirstService Residential; Shadow Creek Ranch; Maria Denise Southall-Shaw; vendor; Shawdashian Group</t>
  </si>
  <si>
    <t>Management-company employee / vendor invoice approval / kickback recipient</t>
  </si>
  <si>
    <t>MANAGER-VENDOR KICKBACK CRIMINAL CASE — false invoices for goods/services not provided and 50% kickbacks</t>
  </si>
  <si>
    <t>Maria Denise Southall-Shaw, former manager of Shadow Creek Ranch, pleaded guilty to wire fraud. She admitted approving vendor invoices for pool equipment and supplies she knew had not been provided. From November 2013 through November 2017, the vendor paid her half of the payments received on the fraudulent invoices, routed to a company she owned.</t>
  </si>
  <si>
    <t>Vendor paid manager half of payments received on fraudulent invoices; exact total not stated in cited plea release</t>
  </si>
  <si>
    <t>Federal guilty plea / admitted conduct</t>
  </si>
  <si>
    <t>U.S. Attorney's Office, Southern District of Texas</t>
  </si>
  <si>
    <t>Shadow Creek Ranch manager pleads guilty to scamming HOA company</t>
  </si>
  <si>
    <t>Criminal conviction/guilty plea — conduct admitted</t>
  </si>
  <si>
    <t>FirstService Residential was identified by DOJ as the company defrauded by its employee. Do not characterize FirstService as a participant in the kickback scheme based on this source.</t>
  </si>
  <si>
    <t>E388</t>
  </si>
  <si>
    <t>Former CFO of HOA-focused property management company</t>
  </si>
  <si>
    <t>Minnesota / Arizona</t>
  </si>
  <si>
    <t>Durand and Associates; David Efrem Katz; client HOAs</t>
  </si>
  <si>
    <t>Property management company CFO / access to company and HOA funds</t>
  </si>
  <si>
    <t>MANAGEMENT FINANCIAL MISCONDUCT — CFO embezzled company and HOA-client funds using excess pay, reimbursements, loans/bonuses and personal expenses</t>
  </si>
  <si>
    <t>David Efrem Katz, former CFO of Durand and Associates, an HOA-focused property management company, pleaded guilty to wire fraud and was sentenced to 24 months in prison plus two years of supervised release and full restitution. DOJ said he embezzled more than $3 million from D&amp;A and its client HOAs between 2012 and 2017, including unauthorized excess salary, reimbursements for expenses not incurred, purported recovery loans, bonuses and commissions.</t>
  </si>
  <si>
    <t>More than $3 million</t>
  </si>
  <si>
    <t>Federal guilty plea and sentence / admitted criminal conduct</t>
  </si>
  <si>
    <t>U.S. Attorney's Office, District of Minnesota</t>
  </si>
  <si>
    <t>Former CFO Sentenced to Prison, Ordered to Pay Restitution for Embezzling More Than $3 Million from Employer</t>
  </si>
  <si>
    <t>Criminal conviction — 24 months prison, two years supervised release, full restitution</t>
  </si>
  <si>
    <t>DOJ describes both the management company and its HOA clients as victims. This establishes internal financial-control risk, not misconduct by the management-company owner or the HOA boards.</t>
  </si>
  <si>
    <t>E389</t>
  </si>
  <si>
    <t>Employee of HOA management company with access to multiple association bank accounts</t>
  </si>
  <si>
    <t>Rouland Management Services; Aimee Louise Statham; multiple managed HOAs</t>
  </si>
  <si>
    <t>Management-company employee / HOA banking access</t>
  </si>
  <si>
    <t>HOA BANK-ACCOUNT EMBEZZLEMENT — hundreds of unauthorized checks/transfers and altered HOA bank statements</t>
  </si>
  <si>
    <t>Aimee Louise Statham was sentenced to 40 months in federal prison for wire fraud after pleading guilty. DOJ said that from January 2018 through August 2021 she embezzled from Rouland Management Services and the HOAs it managed by issuing hundreds of unauthorized checks to herself from HOA bank accounts, transferring money between HOA and management-company accounts and then to herself, and altering monthly HOA bank statements to hide the transactions.</t>
  </si>
  <si>
    <t>Total loss exceeded $1.4 million</t>
  </si>
  <si>
    <t>U.S. Attorney's Office, Northern District of Alabama</t>
  </si>
  <si>
    <t>Shelby County Woman Sentenced to More than Three Years in Prison for Stealing from HOAs and Employer</t>
  </si>
  <si>
    <t>Criminal conviction — 40 months prison</t>
  </si>
  <si>
    <t>Rouland Management Services and the managed HOAs were victims. Code this as a management-system custody/control failure and employee crime, not corporate participation by RMS.</t>
  </si>
  <si>
    <t>E390</t>
  </si>
  <si>
    <t>Owner of HOA property management company</t>
  </si>
  <si>
    <t>Rosewood Management and Consulting Services LLC; Rose Kasande Bailey; more than 70 HOA clients</t>
  </si>
  <si>
    <t>Management-company owner / signatory authority over HOA accounts / business acquisition financing</t>
  </si>
  <si>
    <t>MANAGEMENT-COMPANY OWNER EMBEZZLEMENT — HOA funds transferred to management-company accounts, concealed with altered statements, and used for payroll, rent, personal expenses and acquisition-related business loans</t>
  </si>
  <si>
    <t>Rose Kasande Bailey, founder of Rosewood Management and Consulting Services, was sentenced to two years in prison for wire fraud. DOJ said Rosewood managed more than 70 Virginia HOAs and Bailey had signing authority over Rosewood and HOA accounts. Beginning in May 2018, she transferred about $1.1 million from HOA accounts to Rosewood accounts without required board approval, using funds for Rosewood payroll and rent, credit cards, personal expenses and payments on business loans tied to acquiring another HOA management firm. DOJ also said she falsified bank statements and moved $600,000 from other HOA accounts to make a departing HOA whole.</t>
  </si>
  <si>
    <t>Approximately $1.1 million illicit transfers; $600,000 shifted from other HOA accounts to departing HOA</t>
  </si>
  <si>
    <t>Federal criminal conviction and sentence / court documents summarized by DOJ</t>
  </si>
  <si>
    <t>U.S. Attorney's Office, Eastern District of Virginia</t>
  </si>
  <si>
    <t>Warrenton woman sentenced to two years in prison for embezzling over $1M from homeowner associations</t>
  </si>
  <si>
    <t>Criminal conviction — two years prison</t>
  </si>
  <si>
    <t>This is unusually relevant to management-company structure because DOJ says the management-company owner used HOA funds to support company operations and acquisition-related debt. It does not establish that the acquired firm or client boards participated.</t>
  </si>
  <si>
    <t>E402</t>
  </si>
  <si>
    <t>Homeowners / consumers receiving regulatory relief</t>
  </si>
  <si>
    <t>Professional Community Management, Inc. (ProCom); Michael Finley; Scott Davis</t>
  </si>
  <si>
    <t>HOA/condominium management company / individual respondents</t>
  </si>
  <si>
    <t>Illegal late fees; delinquent-assessment collection; unauthorized association-bank withdrawal</t>
  </si>
  <si>
    <t>Maryland's Consumer Protection Division obtained a Final Order finding that ProCom charged illegal late fees to homeowners delinquent on HOA and condominium assessments. The order required refunds to overcharged consumers and prohibited continuation of the illegal late-fee practice. It also found that Michael Finley withdrew more than $25,000 from an association bank account without permission.</t>
  </si>
  <si>
    <t>Consumer refunds; &gt;$25,000 returned to association; &gt;$1.3 million civil penalties; $179,000 costs</t>
  </si>
  <si>
    <t>Final regulatory order; homeowner/association relief</t>
  </si>
  <si>
    <t>State attorney general enforcement / final order</t>
  </si>
  <si>
    <t>Attorney General Brown Announces Final Order Against Property Manager for Common-Ownership Communities</t>
  </si>
  <si>
    <t>Verified – final order favorable to homeowners/association</t>
  </si>
  <si>
    <t>Code as a regulatory adjudication and consumer-relief matter, not a criminal fraud conviction. ProCom challenged the Final Order; the circuit court declined to stay its injunctive and payment provisions as reported by the Maryland AG.</t>
  </si>
  <si>
    <t>Collections / Management Company / Late Fees / Banking</t>
  </si>
  <si>
    <t>E561</t>
  </si>
  <si>
    <t>Property manager criminal case</t>
  </si>
  <si>
    <t>Jill Rouse (formerly Jill Rouse Boothby); Boothby Realty; Jill Boothby Designs; 11 condominium associations</t>
  </si>
  <si>
    <t>Property manager / manager-owned vendor</t>
  </si>
  <si>
    <t>Property manager pleads guilty after billing 11 condo associations through her own company for goods never purchased</t>
  </si>
  <si>
    <t>Federal prosecutors said Jill Rouse, while managing 11 condominium associations for Boothby Realty, created false invoices in the name of her separately owned design company for goods and services that were never purchased, caused association funds to pay those invoices, and altered monthly financial statements to conceal the fraud. She pleaded guilty to wire fraud.</t>
  </si>
  <si>
    <t>$375,750 restitution agreed; more than $350,000 stolen</t>
  </si>
  <si>
    <t>Federal guilty plea / manager-owned fake-vendor invoices</t>
  </si>
  <si>
    <t>U.S. Department of Justice - Northern District of Alabama</t>
  </si>
  <si>
    <t>Property Manager Pleads Guilty to Stealing from Condominium Associations</t>
  </si>
  <si>
    <t>Guilty plea. Strong example of a property manager using a personally owned vendor entity and false invoices across multiple associations.</t>
  </si>
  <si>
    <t>E562</t>
  </si>
  <si>
    <t>HOA property-management executive criminal case</t>
  </si>
  <si>
    <t>Harlow White; Eagle Property Management / EPMI</t>
  </si>
  <si>
    <t>Property management company / HOA client bank accounts</t>
  </si>
  <si>
    <t>Property-management executive sentenced after company stole at least $1.2M directly from HOA client bank accounts</t>
  </si>
  <si>
    <t>DOJ said Harlow White, former president and CEO of Eagle Property Management, knew that EPMI stole at least $1.2 million directly from HOA client bank accounts between 2010 and 2014. White previously pleaded guilty to money laundering and was sentenced to prison; stolen funds were used in part for personal credit-card charges.</t>
  </si>
  <si>
    <t>At least $1.2M stolen from HOA clients; $291,420 restitution ordered to White</t>
  </si>
  <si>
    <t>Federal conviction/sentencing / management-company misuse of HOA funds</t>
  </si>
  <si>
    <t>U.S. Department of Justice - District of Arizona</t>
  </si>
  <si>
    <t>Former Property Manager Sent to Prison for Defrauding Homeowner Associations</t>
  </si>
  <si>
    <t>Proven criminal case. This is direct theft/misuse of HOA client funds rather than vendor kickbacks, but it belongs in the fraud/control lane.</t>
  </si>
  <si>
    <t>E133</t>
  </si>
  <si>
    <t>HOA board / state regulatory complaint aggregate</t>
  </si>
  <si>
    <t>Multiple unnamed Colorado HOAs and vendors</t>
  </si>
  <si>
    <t>Boards / vendors</t>
  </si>
  <si>
    <t>State complaint data documents vendor kickbacks and unbid board-member work</t>
  </si>
  <si>
    <t>Colorado's HOA Information and Resource Center reported complaints involving board-member/vendor conflicts, including board members being paid for community work that was not bid out and vendor kickbacks connected to misappropriation complaints.</t>
  </si>
  <si>
    <t>Aggregate state complaint data; no single amount</t>
  </si>
  <si>
    <t>Government complaint-pattern evidence</t>
  </si>
  <si>
    <t>Colorado Division of Real Estate</t>
  </si>
  <si>
    <t>2016 Annual Report - HOA Information and Resource Center</t>
  </si>
  <si>
    <t>High-value contextual inclusion</t>
  </si>
  <si>
    <t>Aggregate complaints are not adjudicated cases and should not be counted as individual incidents.</t>
  </si>
  <si>
    <t>E233</t>
  </si>
  <si>
    <t>Homeowner submission to Colorado HOA Task Force</t>
  </si>
  <si>
    <t>Unnamed HOA management company; HOA document-download company</t>
  </si>
  <si>
    <t>Management company / resale-document provider / homebuyer closing</t>
  </si>
  <si>
    <t>Homeowner alleges document company offered management company $80 of a $300 resale-document fee</t>
  </si>
  <si>
    <t>A homeowner submission to Colorado DORA's HOA Homeowners' Rights Task Force alleged that a company providing HOA-document downloads to resale purchasers offered up to $80 of the $300 service fee to the property management company that engaged it. The submitter characterized the arrangement as an unearned-fee kickback collected in a federally related mortgage closing.</t>
  </si>
  <si>
    <t>$300 service fee; up to $80 allegedly offered to management company</t>
  </si>
  <si>
    <t>Government-hosted first-person kickback allegation / resale-document revenue</t>
  </si>
  <si>
    <t>Colorado Department of Regulatory Agencies - Engage Colorado</t>
  </si>
  <si>
    <t>HOA property management companies participating in Unearned Fee kickback at closing of Federal Related Mortgage transactions</t>
  </si>
  <si>
    <t>This is a public task-force submission, not a DORA finding. The alleged RESPA violation and compensation arrangement require independent verification.</t>
  </si>
  <si>
    <t>E253</t>
  </si>
  <si>
    <t>Community-association manager / state regulatory fraud finding</t>
  </si>
  <si>
    <t>Leslie White; Associated Community Management; Path Community Management; 34 Las Vegas HOAs</t>
  </si>
  <si>
    <t>Community association manager / management-company owner / association bank and financial control</t>
  </si>
  <si>
    <t>Regulatory fraud finding / unauthorized withdrawals / excess management payments / unlicensed account control</t>
  </si>
  <si>
    <t>The Nevada Commission for Common-Interest Communities found Leslie White violated 15 state laws and regulations hundreds of times and defrauded 34 HOAs. State investigators found unauthorized withdrawals, charges not authorized by boards, fees not specified in management agreements, excess payments to Path Community Management, and continued control of association bank accounts and financial records after White surrendered her CAM certificate.</t>
  </si>
  <si>
    <t>$1,642,451 restitution ordered to 34 HOAs; $1,104,894 administrative fines/fees; more than $2.7M combined</t>
  </si>
  <si>
    <t>State regulatory finding / restitution order / hundreds of violations</t>
  </si>
  <si>
    <t>Nevada Department of Business &amp; Industry / Real Estate Division</t>
  </si>
  <si>
    <t>Common-Interest Community Commission assesses fines, costs and restitution of more than $2 million against former community association manager Leslie White</t>
  </si>
  <si>
    <t>Highest-priority proven regulatory management case</t>
  </si>
  <si>
    <t>This is a state Commission finding, not merely a complaint. The release says the fraud occurred over a three-year period and describes an investigation beginning in 2014, continued activity after the September 2015 certificate surrender, and a 2016 cease-and-desist order.</t>
  </si>
  <si>
    <t>E268</t>
  </si>
  <si>
    <t>Insurance broker / judicial review / conflict-of-interest rule</t>
  </si>
  <si>
    <t>British Columbia, Canada</t>
  </si>
  <si>
    <t>FS Insurance Brokers Inc.; FirstService Residential BC; BFL Canada Insurance Services Inc.; Insurance Council of British Columbia</t>
  </si>
  <si>
    <t>Management-affiliated insurance broker / strata management / insurance placement</t>
  </si>
  <si>
    <t>NON-U.S. COMPARATIVE INSURANCE — affiliated broker challenged conflict-of-interest rule and lost on judicial review</t>
  </si>
  <si>
    <t>FS Insurance Brokers, which shares common ownership with FirstService Residential BC, challenged an Insurance Council of British Columbia rule restricting licensed brokers from doing insurance business for strata corporations managed by a property-management company with which the broker shares common ownership. Court materials describe FSIB's model as providing support to FSR-managed strata corporations while BFL placed the coverage and shared a portion of commissions with FSIB. In July 2024 the Supreme Court of British Columbia upheld the regulator's rule as reasonable and fair, rejecting FSIB's challenge.</t>
  </si>
  <si>
    <t>Commission-sharing relationship documented; no single association dollar amount stated in the decision summaries reviewed</t>
  </si>
  <si>
    <t>British Columbia Supreme Court decision / judicial review / regulatory conflict-of-interest rule</t>
  </si>
  <si>
    <t>Supreme Court of British Columbia / Canadian legal-industry reporting</t>
  </si>
  <si>
    <t>FS Insurance Brokers, Inc. v. Insurance Council of British Columbia, 2024 BCSC 1218</t>
  </si>
  <si>
    <t>Highest-priority NON-U.S. comparative insurance/conflict case; LARGE MANAGEMENT COMPANY</t>
  </si>
  <si>
    <t>Non-U.S. comparative evidence and should be excluded from any U.S.-only prevalence count. The court upheld the regulator's rule; the case did not find that every FSR-managed strata was required to use the affiliated insurance channel, and earlier court reporting noted they were not. The importance here is the documented common ownership, commission-sharing model, regulatory conflict concern, and unsuccessful court challenge to the rule.</t>
  </si>
  <si>
    <t>Insurance — Non-U.S. Comparative</t>
  </si>
  <si>
    <t>E379</t>
  </si>
  <si>
    <t>Industry Professional / Regulatory + Federal Court Record</t>
  </si>
  <si>
    <t>Association manager/license discipline followed by insurance litigation</t>
  </si>
  <si>
    <t>Phoenix Rising Management LLC; Patrick Kennelly; Willowview Condominium Association; Illinois Department of Financial and Professional Regulation</t>
  </si>
  <si>
    <t>Community association management company / unauthorized fund removal / gross overcharging / unperformed services</t>
  </si>
  <si>
    <t>MANAGEMENT FINANCIAL MISCONDUCT — regulator suspended CAM license for unauthorized fund removal, failure to account/remit and gross overcharging</t>
  </si>
  <si>
    <t>A 2025 federal insurance decision recounts Illinois regulator findings underlying the September 2023 suspension of Patrick Kennelly's Community Association Manager license. The regulator cited removing association funds without authority, failing to account for or remit funds, professional incompetence/gross negligence, gross overcharging for services not rendered or unauthorized services, and dishonorable or unethical conduct likely to deceive, defraud or harm the public. The decision arose from later insurance-coverage litigation after claims involving Phoenix Rising Management and Willowview Condominium Association.</t>
  </si>
  <si>
    <t>Amounts at issue in underlying association claims should be verified from pleadings; regulatory grounds themselves are documented</t>
  </si>
  <si>
    <t>State CAM license suspended; subsequent federal insurance litigation</t>
  </si>
  <si>
    <t>U.S. District Court for the Northern District of Illinois / Illinois regulator findings quoted in opinion</t>
  </si>
  <si>
    <t>Kennelly v. Landmark American Insurance Company</t>
  </si>
  <si>
    <t>Highest-priority regulator-confirmed management misconduct case</t>
  </si>
  <si>
    <t>The federal court was deciding insurance issues, not retrying the CAM discipline. Code the suspension grounds as regulator findings quoted by the court, and separately verify any final disciplinary order/monetary restitution before adding amounts.</t>
  </si>
  <si>
    <t>E429</t>
  </si>
  <si>
    <t>Homeowner / regulatory mechanism</t>
  </si>
  <si>
    <t>HOA homeowners affected by management company's in-house collection system</t>
  </si>
  <si>
    <t>Community Management Group, LLC; Stephen Peck; Tom Moore</t>
  </si>
  <si>
    <t>HOA/condominium management company / management personnel</t>
  </si>
  <si>
    <t>In-house collections; lien preparation; small-claims collection suits; judgment filing; unauthorized legal activity</t>
  </si>
  <si>
    <t>Community Management Group collected assessments for associations and advertised that it could handle collections, lien filing and small-claims actions in house. Without attorneys, it prepared and recorded lien documents, represented associations in magistrate court collection cases, and filed judgments in circuit court. The South Carolina Supreme Court held these activities constituted unauthorized practice of law.</t>
  </si>
  <si>
    <t>Multiple associations and homeowner accounts; amounts not stated</t>
  </si>
  <si>
    <t>Regulatory/judicial finding against management-company collection practices</t>
  </si>
  <si>
    <t>State supreme court original-jurisdiction opinion</t>
  </si>
  <si>
    <t>Rogers Townsend &amp; Thomas, P.C. v. Peck / Community Management Group, LLC</t>
  </si>
  <si>
    <t>Verified – court found unauthorized practice of law</t>
  </si>
  <si>
    <t>Direct court-opinion link. This is a mechanism/regulatory record rather than an individual homeowner damages victory and is highly relevant to in-house management collections.</t>
  </si>
  <si>
    <t>Collections / Management Company / In-House / Unauthorized Practice</t>
  </si>
  <si>
    <t>E445</t>
  </si>
  <si>
    <t>Homeowner / regulatory relief</t>
  </si>
  <si>
    <t>Homeowners receiving refunds through state enforcement</t>
  </si>
  <si>
    <t>Park Pointe Management Services; Pristine Springs Homeowners Association; Armstrong Park Homeowners Association</t>
  </si>
  <si>
    <t>HOA management company / homeowners associations</t>
  </si>
  <si>
    <t>Undisclosed transfer fees; management-company fee collection; resale/transfer charges; consumer protection</t>
  </si>
  <si>
    <t>After homeowner complaints, the Idaho Attorney General reached court settlements concerning transfer fees that were not disclosed in association governing documents. The AG stated that HOA management companies have no authority under Idaho law to charge transfer fees. Park Pointe Management, which the AG said contracts with approximately 70 Idaho HOAs, was required to identify and refund all homeowners from whom it improperly collected transfer fees; Armstrong Park was separately required to refund a $195 transfer fee to affected homeowners.</t>
  </si>
  <si>
    <t>Refunds to all affected Park Pointe homeowners; $195 refund obligation identified for Armstrong Park homeowner(s)</t>
  </si>
  <si>
    <t>Regulatory settlement; homeowner refunds required</t>
  </si>
  <si>
    <t>Official Idaho Attorney General enforcement announcement</t>
  </si>
  <si>
    <t>AG Labrador Cracks Down on HOAs Charging Illegal Fees to Idaho Homeowners</t>
  </si>
  <si>
    <t>Verified – official AG source; homeowner relief obtained</t>
  </si>
  <si>
    <t>Direct official source link. Settlements/assurances should not be characterized as criminal findings. Inclusion documents an enforcement determination and refund obligations concerning management-collected transfer fees.</t>
  </si>
  <si>
    <t>Management Company / Transfer Fees / Consumer Protection / Refunds</t>
  </si>
  <si>
    <t>E499</t>
  </si>
  <si>
    <t>Eagle Springs Property Owners Association</t>
  </si>
  <si>
    <t>POA / property owner</t>
  </si>
  <si>
    <t>Fines; special assessments; foreclosure</t>
  </si>
  <si>
    <t>The association pursued $25 weekly fines and delinquent special assessments and sought foreclosure. The case documents how fines and special assessments can be combined in an enforcement action.</t>
  </si>
  <si>
    <t>At least $4,372 delinquent special assessments; $25 weekly fines</t>
  </si>
  <si>
    <t>Court litigation; outcome and relief controlled by linked opinion</t>
  </si>
  <si>
    <t>Eagle Springs Property Owners Association v. Meyer</t>
  </si>
  <si>
    <t>Fines / Special Assessments / Foreclosure / Mechanism</t>
  </si>
  <si>
    <t>E525</t>
  </si>
  <si>
    <t>Attorney disciplinary court record</t>
  </si>
  <si>
    <t>Law Offices of Gregory A. Alexandires; Chaddsford HOA</t>
  </si>
  <si>
    <t>HOA general/collection counsel</t>
  </si>
  <si>
    <t>HOA collection counsel; billing; professional discipline</t>
  </si>
  <si>
    <t>The HOA had retained the firm for general counsel and past-due assessment collections. After termination, a fee dispute arose; the disciplinary case found serious attorney misconduct and ordered disbarment.</t>
  </si>
  <si>
    <t>$77,727.43 itemized invoice; $29,673.30 sought in suit</t>
  </si>
  <si>
    <t>Regulatory/court discipline; attorney disbarred</t>
  </si>
  <si>
    <t>Attorney Grievance Commission v. Parris</t>
  </si>
  <si>
    <t>HOA Attorney / Collections / Professional Discipline</t>
  </si>
  <si>
    <t>E528</t>
  </si>
  <si>
    <t>River Plantation Homeowners Association</t>
  </si>
  <si>
    <t>The HOA prevailed in a driveway-enforcement action. The appellate court affirmed enforcement and reversed only the denial of the HOA’s attorney fees, remanding for a fee award.</t>
  </si>
  <si>
    <t>HOA prevailed; owner also faced attorney-fee shifting</t>
  </si>
  <si>
    <t>River Plantation Homeowner's Association v. Capps</t>
  </si>
  <si>
    <t>E028</t>
  </si>
  <si>
    <t>HOA compliance / audit service</t>
  </si>
  <si>
    <t>CommunityComply</t>
  </si>
  <si>
    <t>Undisclosed markups, vendor relationships, no competitive bidding</t>
  </si>
  <si>
    <t>Company case studies describe a management contract allowing vendor pass-through markups without disclosure and a separate HOA where management-referred vendors had billing inconsistencies, no competitive bidding for six years, and were later replaced at materially lower cost.</t>
  </si>
  <si>
    <t>Dollar amounts withheld; materially lower annual cost reported</t>
  </si>
  <si>
    <t>Company case-study evidence</t>
  </si>
  <si>
    <t>Company website</t>
  </si>
  <si>
    <t>HOA &amp; COA Overbilling Recovery Case Studies</t>
  </si>
  <si>
    <t>Research lead / structural evidence</t>
  </si>
  <si>
    <t>Marketing case studies are not independent audits available to us; treat as reported engagements rather than verified prevalence evidence.</t>
  </si>
  <si>
    <t>E029</t>
  </si>
  <si>
    <t>Neighborhood Cornerstone</t>
  </si>
  <si>
    <t>Preferred-vendor referral fee / higher bid example</t>
  </si>
  <si>
    <t>Company article describes an HOA asphalt example where a preferred vendor bid exceeded two alternatives and says the manager admitted a referral fee.</t>
  </si>
  <si>
    <t>$42,500 preferred bid vs $33,800 and $31,200; 12% referral fee alleged; &gt;$11,000 savings reported</t>
  </si>
  <si>
    <t>Company-authored case example</t>
  </si>
  <si>
    <t>7 Hidden Fees Your HOA Manager Is Not Telling You About</t>
  </si>
  <si>
    <t>High-value research lead</t>
  </si>
  <si>
    <t>Company-authored example; underlying HOA and documents are not identified in the search result.</t>
  </si>
  <si>
    <t>E057</t>
  </si>
  <si>
    <t>General contractor / small business owner</t>
  </si>
  <si>
    <t>Unnamed property management company</t>
  </si>
  <si>
    <t>Property manager / preferred-vendor program</t>
  </si>
  <si>
    <t>Pay-to-play preferred vendor / 10% withholding</t>
  </si>
  <si>
    <t>Contractor said a property manager offered preferred-vendor status under a contract allowing the manager/customer to retain 10% of every job and prohibited the contractor from increasing bids to offset it. Contractor said management then withheld 10% from a payment even though the contract had not been signed.</t>
  </si>
  <si>
    <t>10% of every job</t>
  </si>
  <si>
    <t>Very strong current first-person pay-to-play allegation</t>
  </si>
  <si>
    <t>Professional/moral/ethical concerns: Property Manager wants me to pay them for the privilege of working for them</t>
  </si>
  <si>
    <t>Current first-person contractor account; company is unnamed and contract has not been independently obtained.</t>
  </si>
  <si>
    <t>E070</t>
  </si>
  <si>
    <t>HOA service vendor, 20+ years</t>
  </si>
  <si>
    <t>Unnamed HOA boards / vendors</t>
  </si>
  <si>
    <t>Vendor / board</t>
  </si>
  <si>
    <t>Repeated requests to pad invoices for kickbacks</t>
  </si>
  <si>
    <t>An HOA service provider said that over more than 20 years they had repeatedly been told to pad bills to fund kickbacks for work awards, including one instance allegedly routed through a nonprofit created by a board president.</t>
  </si>
  <si>
    <t>Deception by HOAs</t>
  </si>
  <si>
    <t>Anonymous first-person industry account; no named HOA or documents are supplied.</t>
  </si>
  <si>
    <t>E076</t>
  </si>
  <si>
    <t>Unnamed prior insurance vendor / prior management</t>
  </si>
  <si>
    <t>Management / insurance</t>
  </si>
  <si>
    <t>INSURANCE — Possible kickback suspected after takeover found extreme pricing</t>
  </si>
  <si>
    <t>An HOA manager described taking over a community, changing insurance while increasing coverage, and reducing insurance cost dramatically; the manager said the disparity made them question whether a kickback had existed under the prior arrangement, though it could not be determined.</t>
  </si>
  <si>
    <t>Manager described cost reduction of 440% (wording in source)</t>
  </si>
  <si>
    <t>Industry professional suspicion after takeover</t>
  </si>
  <si>
    <t>Bids &amp; Kickbacks</t>
  </si>
  <si>
    <t>The manager expressly says no kickback could be determined. Include only because user specified takeover discoveries can qualify when prior pricing raises pay-to-play suspicion.</t>
  </si>
  <si>
    <t>E077</t>
  </si>
  <si>
    <t>Investigator / managing-agent fraud case example</t>
  </si>
  <si>
    <t>Unnamed managing agent / renovation vendor</t>
  </si>
  <si>
    <t>Managing agent / vendor</t>
  </si>
  <si>
    <t>Overbilling plus 10% kickback discovered through invoice review</t>
  </si>
  <si>
    <t>Investigators reportedly found a renovation company tied to a building employee, six-figure overbilling, and a managing agent receiving a 10% kickback on the vendor's annual billings over five years.</t>
  </si>
  <si>
    <t>10% kickback on $50,000-$70,000 annual billing; six-figure overbilling reported</t>
  </si>
  <si>
    <t>Investigative case account</t>
  </si>
  <si>
    <t>Cash and Carry</t>
  </si>
  <si>
    <t>Older trade-publication case account; named individuals/building are not supplied in the visible article excerpt.</t>
  </si>
  <si>
    <t>E157</t>
  </si>
  <si>
    <t>Property manager / management-company employee relationship complaint</t>
  </si>
  <si>
    <t>Unnamed property manager / major vendor</t>
  </si>
  <si>
    <t>Property manager / vendor employer</t>
  </si>
  <si>
    <t>Manager simultaneously employed by major HOA vendor while managing association</t>
  </si>
  <si>
    <t>Board participant said the association's property manager had an employment relationship with one of the HOA's major vendors, creating concern about vendor recommendations and alleged kickback optics.</t>
  </si>
  <si>
    <t>First-person board conflict complaint</t>
  </si>
  <si>
    <t>Property Manager with possible conflict of interest</t>
  </si>
  <si>
    <t>Manager reportedly stated contract terms barred compensation on affiliated clients; no kickback is proven.</t>
  </si>
  <si>
    <t>E164</t>
  </si>
  <si>
    <t>Insurance risk-control case example</t>
  </si>
  <si>
    <t>LR Realty; unnamed property manager; manager's interior design company</t>
  </si>
  <si>
    <t>Property manager / self-owned vendor</t>
  </si>
  <si>
    <t>Manager created fake invoices through own company and altered HOA financials</t>
  </si>
  <si>
    <t>Insurance risk-control case study describes a property manager for nine community associations who created invoices in the name of her own interior-design company for goods/services never purchased, had associations pay them, and altered monthly statements to conceal the scheme.</t>
  </si>
  <si>
    <t>More than $300,000 over 10 years</t>
  </si>
  <si>
    <t>Industry case-study fraud evidence</t>
  </si>
  <si>
    <t>Ian H. Graham Insurance</t>
  </si>
  <si>
    <t>Property Manager Accounting Fraud</t>
  </si>
  <si>
    <t>Case study does not identify whether it is a public adjudicated case; treat as insurer-reported scenario rather than independent conviction evidence.</t>
  </si>
  <si>
    <t>E165</t>
  </si>
  <si>
    <t>CPA / industry fraud expert</t>
  </si>
  <si>
    <t>Nevada / national</t>
  </si>
  <si>
    <t>Unnamed associations / vendors</t>
  </si>
  <si>
    <t>Board / manager / vendors</t>
  </si>
  <si>
    <t>CPA identifies inflated vendor invoices and kickbacks as common association-fraud mechanism</t>
  </si>
  <si>
    <t>Industry fraud specialists describe vendor kickbacks as a leading form of association malfeasance: vendors inflate invoice prices and return the difference to a board member or association manager who controls contract or invoice approval.</t>
  </si>
  <si>
    <t>Illustrative $2,000 padded bid; no prevalence percentage</t>
  </si>
  <si>
    <t>Expert industry pattern evidence</t>
  </si>
  <si>
    <t>CooperatorNews Nevada</t>
  </si>
  <si>
    <t>Spotting Financial Irregularities</t>
  </si>
  <si>
    <t>Contextual only</t>
  </si>
  <si>
    <t>Expert/illustrative material, not an individual complaint. Do not count as a distinct incident.</t>
  </si>
  <si>
    <t>E171</t>
  </si>
  <si>
    <t>General contractor / vendor</t>
  </si>
  <si>
    <t>Property management company / preferred-vendor program</t>
  </si>
  <si>
    <t>Property manager requires vendor to surrender 10% of every job for preferred status</t>
  </si>
  <si>
    <t>A general contractor said a new property management company offered preferred-vendor status under a contract requiring the contractor to give up the final 10% of every job to cover the manager's cost of doing business. The contractor said the manager also prohibited marking up bids to offset the 10% and withheld 10% from a completed job even though the contractor had not signed the agreement.</t>
  </si>
  <si>
    <t>Very strong first-person industry pay-to-play complaint</t>
  </si>
  <si>
    <t>Reddit / Contractor</t>
  </si>
  <si>
    <t>Property Manager wants me to pay them for the privilege of working for them</t>
  </si>
  <si>
    <t>This is exactly the vendor-side mechanism being studied. The property management company is unnamed, and the contract itself is not attached in the indexed result.</t>
  </si>
  <si>
    <t>E177</t>
  </si>
  <si>
    <t>HOA management company discussing industry practice</t>
  </si>
  <si>
    <t>Graham Management / unnamed management companies and vendors</t>
  </si>
  <si>
    <t>Management companies / vendors</t>
  </si>
  <si>
    <t>Industry source says some management companies receive vendor referral commissions</t>
  </si>
  <si>
    <t>An HOA management company publicly warns boards that some management firms have agreements with vendors to receive a percentage of sales for successful referrals, creating a financial incentive that may affect vendor recommendations.</t>
  </si>
  <si>
    <t>Percentage of sales; exact rate not stated</t>
  </si>
  <si>
    <t>Named industry source describing vendor-commission practice</t>
  </si>
  <si>
    <t>Graham Management</t>
  </si>
  <si>
    <t>HOA Management Companies: What You Need to Know</t>
  </si>
  <si>
    <t>This is industry-practice evidence rather than a complaint about a specific harmed association. Do not count it as an underlying incident.</t>
  </si>
  <si>
    <t>E178</t>
  </si>
  <si>
    <t>HOA management company criticizing vendor-fee programs</t>
  </si>
  <si>
    <t>Unnamed management companies / preferred vendors</t>
  </si>
  <si>
    <t>Industry professional reports preferred-vendor programs where vendors pay annual fees for access to association bids</t>
  </si>
  <si>
    <t>Property Management Professionals stated it had learned of management companies implementing annual preferred-vendor fees, under which vendors who pay receive preferred status when associations select bidders. The author called the practice inappropriate and a significant conflict of interest.</t>
  </si>
  <si>
    <t>Annual vendor fee; exact amount not stated</t>
  </si>
  <si>
    <t>Industry-source evidence of pay-to-access procurement structure</t>
  </si>
  <si>
    <t>Property Management Professionals</t>
  </si>
  <si>
    <t>Vendor fee is not standard practice</t>
  </si>
  <si>
    <t>No individual association or management company using the practice is identified. Use as evidence that the mechanism exists, not prevalence.</t>
  </si>
  <si>
    <t>E179</t>
  </si>
  <si>
    <t>HOA management company describing competing industry practice</t>
  </si>
  <si>
    <t>Unnamed management companies / vendors</t>
  </si>
  <si>
    <t>Industry source says most management companies add 10% pad to vendor quotes</t>
  </si>
  <si>
    <t>Key Community Management states that most management companies add a 10% pad to vendor quotes and contrasts its own practice of not charging that fee in the interest of transparency.</t>
  </si>
  <si>
    <t>10% pad to vendor quotes</t>
  </si>
  <si>
    <t>Named industry source describing vendor-markup practice</t>
  </si>
  <si>
    <t>Key Community Management</t>
  </si>
  <si>
    <t>Tools of the Trade: HOA Board Project Planning and Hiring a Professional Vendor</t>
  </si>
  <si>
    <t>This is a competitor's broad industry claim and should not be treated as independently established prevalence. It is useful evidence of a recognized compensation mechanism.</t>
  </si>
  <si>
    <t>E180</t>
  </si>
  <si>
    <t>Community association management company disclosure</t>
  </si>
  <si>
    <t>Action Property Management</t>
  </si>
  <si>
    <t>Management company / third-party vendors</t>
  </si>
  <si>
    <t>Management company publicly discloses referral fees, transaction fees and other economic benefits from vendor relationships</t>
  </si>
  <si>
    <t>Action Property Management's business-relationship disclosure states that it or affiliates may receive reimbursements, referral fees, transaction fees or other economic benefits for facilitating relationships with third-party vendors or service providers and does not guarantee those relationships produce lower pricing.</t>
  </si>
  <si>
    <t>Referral/transaction fees; amounts not stated</t>
  </si>
  <si>
    <t>Primary-source disclosure of vendor-related management revenue</t>
  </si>
  <si>
    <t>Business Relationship Disclosure</t>
  </si>
  <si>
    <t>High-priority structural evidence</t>
  </si>
  <si>
    <t>This is disclosed compensation, not an accusation of fraud or wrongdoing. Keep analytically separate from hidden kickbacks while retaining it as direct evidence of the incentive structure.</t>
  </si>
  <si>
    <t>E181</t>
  </si>
  <si>
    <t>HOA vendor marketplace / procurement intermediary</t>
  </si>
  <si>
    <t>BuildingOrder / participating vendors</t>
  </si>
  <si>
    <t>Procurement intermediary / vendors / HOA managers</t>
  </si>
  <si>
    <t>HOA bid-coordination service is free to managers because participating vendors pay it</t>
  </si>
  <si>
    <t>BuildingOrder markets a service that obtains and coordinates three vendor bids for HOA managers at no cost to HOAs or managers and expressly states that it is paid by participating vendors.</t>
  </si>
  <si>
    <t>Vendor-funded; amount not stated</t>
  </si>
  <si>
    <t>Primary-source disclosure of vendor-funded procurement intermediary</t>
  </si>
  <si>
    <t>BuildingOrder</t>
  </si>
  <si>
    <t>BuildingOrder HOA vendor bidding</t>
  </si>
  <si>
    <t>Structural evidence / separate coding</t>
  </si>
  <si>
    <t>No misconduct is alleged. This is relevant to the architecture of vendor-funded procurement and should be analytically separated from complaint and fraud records.</t>
  </si>
  <si>
    <t>E182</t>
  </si>
  <si>
    <t>HOA vendor platform / management partner program</t>
  </si>
  <si>
    <t>National</t>
  </si>
  <si>
    <t>Neighbrium</t>
  </si>
  <si>
    <t>Management companies / vendors / homeowners associations</t>
  </si>
  <si>
    <t>Platform markets referral-fee revenue to HOA management companies across their portfolios</t>
  </si>
  <si>
    <t>Neighbrium advertises an HOA Management Partner Program that allows management companies to generate referral-fee revenue across every community in their portfolio, with the referral fee split between management and associations.</t>
  </si>
  <si>
    <t>Up to 0.75% referral fee split</t>
  </si>
  <si>
    <t>Primary-source disclosed referral-revenue model</t>
  </si>
  <si>
    <t>HOA Management Partner Program</t>
  </si>
  <si>
    <t>This is an openly disclosed business model, not fraud. Relevant because it directly documents management-company revenue tied to homeowner service transactions.</t>
  </si>
  <si>
    <t>E183</t>
  </si>
  <si>
    <t>HOA management vendor program</t>
  </si>
  <si>
    <t>HOA Unlimited LLC</t>
  </si>
  <si>
    <t>Management company / preferred vendors</t>
  </si>
  <si>
    <t>Preferred vendor program charges vendors $2,500 annually</t>
  </si>
  <si>
    <t>HOA Unlimited's vendor application lists a $2,500 annual Preferred Vendor plan and separately discloses that vendors in its directory may be subject to administrative or service fees.</t>
  </si>
  <si>
    <t>$2,500 annual preferred-vendor plan</t>
  </si>
  <si>
    <t>Primary-source disclosed pay-to-access vendor program</t>
  </si>
  <si>
    <t>HOA Unlimited</t>
  </si>
  <si>
    <t>Vendor Application</t>
  </si>
  <si>
    <t>This is disclosed and not evidence of fraud. It directly documents a substantial vendor-paid preferred-access model in community association management.</t>
  </si>
  <si>
    <t>E187</t>
  </si>
  <si>
    <t>HOA management company</t>
  </si>
  <si>
    <t>San Diego HOA Management</t>
  </si>
  <si>
    <t>Management companies / contractors and vendors</t>
  </si>
  <si>
    <t>Management company says competitors require vendors to pay for work and explicitly calls the practice a kickback</t>
  </si>
  <si>
    <t>San Diego HOA Management states that, unlike some other management companies, it does not require contractors or vendors to pay it a fee to obtain work through the firm and says it considers demanding or accepting such vendor payments unethical and a form of kickback.</t>
  </si>
  <si>
    <t>Vendor fee required to obtain work; amount not stated</t>
  </si>
  <si>
    <t>Named industry source directly acknowledging pay-to-access practice</t>
  </si>
  <si>
    <t>Information for Board Members</t>
  </si>
  <si>
    <t>The source does not name the competing management companies or quantify prevalence. It is direct industry acknowledgment that the mechanism exists.</t>
  </si>
  <si>
    <t>E188</t>
  </si>
  <si>
    <t>Condo management company</t>
  </si>
  <si>
    <t>Chicago Property Services; unnamed competing management companies/vendors</t>
  </si>
  <si>
    <t>Industry source describes vendor invoices of 10%-15%, hidden invoice markups and direct manager kickbacks</t>
  </si>
  <si>
    <t>Chicago Property Services describes several ways management companies can profit from vendor relationships: invoicing vendors for a percentage of business received, typically 10%-15%; secretly marking up vendor invoices before entering them in association accounting; and managers arranging direct vendor kickbacks that vendors recover by padding association charges.</t>
  </si>
  <si>
    <t>10%-15% of vendor business described</t>
  </si>
  <si>
    <t>Detailed named industry-source description of procurement revenue mechanisms</t>
  </si>
  <si>
    <t>Chicago Property Services</t>
  </si>
  <si>
    <t>How Transparent is Your Condo Management Company</t>
  </si>
  <si>
    <t>This is an industry company's description of practices it attributes to other firms, not an identified individual incident. Do not use the 10%-15% statement as industry prevalence.</t>
  </si>
  <si>
    <t>E189</t>
  </si>
  <si>
    <t>HOA vendor marketplace</t>
  </si>
  <si>
    <t>CAMbrands</t>
  </si>
  <si>
    <t>Vendor marketplace / community managers / boards</t>
  </si>
  <si>
    <t>Marketplace sells paid Preferred Vendor placement and directory access to vendors</t>
  </si>
  <si>
    <t>CAMbrands publicly offers vendors a paid Preferred Vendor tier with featured placement at the top of selected service categories, unlimited RFP responses, a Top Rated badge and access to its Board and CAM directory.</t>
  </si>
  <si>
    <t>$199/month or $2,000/year preferred-vendor pricing displayed</t>
  </si>
  <si>
    <t>Primary-source paid-access procurement ecosystem evidence</t>
  </si>
  <si>
    <t>Vendor Pricing for HOA and Condo Service Providers</t>
  </si>
  <si>
    <t>This is an openly disclosed advertising/marketplace product, not evidence of fraud or management kickbacks. Retain only as structural evidence of paid preferred positioning around HOA procurement.</t>
  </si>
  <si>
    <t>E190</t>
  </si>
  <si>
    <t>HOAshare</t>
  </si>
  <si>
    <t>Vendor platform / property managers / vendors</t>
  </si>
  <si>
    <t>Vendor platform sells preferred status and priority placement on a per-community basis</t>
  </si>
  <si>
    <t>HOAshare tells vendors they can subscribe as a Preferred Vendor for priority placement and exclusive leads within communities, alongside pay-per-lead and advertising options.</t>
  </si>
  <si>
    <t>$9.99/month per community for preferred status</t>
  </si>
  <si>
    <t>Primary-source vendor-paid preferred-placement evidence</t>
  </si>
  <si>
    <t>Vendors</t>
  </si>
  <si>
    <t>Disclosed marketplace pricing, not wrongdoing. Useful only for mapping the broader vendor-paid access ecosystem.</t>
  </si>
  <si>
    <t>E191</t>
  </si>
  <si>
    <t>Preferred-vendor marketing network</t>
  </si>
  <si>
    <t>Texas / national</t>
  </si>
  <si>
    <t>Preferred Vendor Lists</t>
  </si>
  <si>
    <t>Vendor network / community managers / HOA and condo projects</t>
  </si>
  <si>
    <t>Paid preferred-vendor program offers early bid notice, high ranking and limited bid competition</t>
  </si>
  <si>
    <t>Preferred Vendor Lists markets preferred status to vendors with highest-profile directory ranking, advance notice and bidding on projects before other vendors, invite-only access to senior leadership and projects capped at three vendor bids.</t>
  </si>
  <si>
    <t>Program price not visible in indexed result; market claims $9.40B opportunity</t>
  </si>
  <si>
    <t>Primary-source paid preferred-access / bid-positioning evidence</t>
  </si>
  <si>
    <t>Preferred Vendor Benefits</t>
  </si>
  <si>
    <t>High-value structural evidence</t>
  </si>
  <si>
    <t>This is openly marketed vendor networking/access, not fraud. It is relevant because preferred status includes procurement advantages such as earlier project notice and capped bid competition.</t>
  </si>
  <si>
    <t>E192</t>
  </si>
  <si>
    <t>Maintenance employee at large property management company</t>
  </si>
  <si>
    <t>Unnamed large national property management company; approved vendors</t>
  </si>
  <si>
    <t>Management company / approved vendor network</t>
  </si>
  <si>
    <t>Employee says company requires poor-performing approved vendors and upper management refuses alternatives</t>
  </si>
  <si>
    <t>A maintenance employee at what they described as one of the country's largest property management companies said the approved vendors had extremely high callback rates and that upper management would not allow the employee to try different companies despite repeated quality failures and substantial repair costs.</t>
  </si>
  <si>
    <t>Repairs described as hundreds to tens of thousands of dollars; ~70% callback rate alleged</t>
  </si>
  <si>
    <t>First-person employee complaint about rigid vendor restriction and rejected alternatives</t>
  </si>
  <si>
    <t>Reddit / maintenance</t>
  </si>
  <si>
    <t>I'm so pissed at our approved vendor list</t>
  </si>
  <si>
    <t>High-value insider process complaint</t>
  </si>
  <si>
    <t>No kickback or financial incentive is alleged. Included because an employee describes inability to source alternatives despite quality/cost concerns; code as unfair/restrictive procurement process, not pay-to-play.</t>
  </si>
  <si>
    <t>E193</t>
  </si>
  <si>
    <t>Property-management employee review</t>
  </si>
  <si>
    <t>Dobler Management</t>
  </si>
  <si>
    <t>Property management company / preferred vendors</t>
  </si>
  <si>
    <t>Employee review says preferred-vendor-only policy overrides cost savings and quality concerns</t>
  </si>
  <si>
    <t>A property-management employee review said staff were required to use preferred vendors regardless of cost savings or quality concerns and could not source alternatives even when doing so would save the property significant money. The reviewer also described difficulty resolving damage caused by a required vendor.</t>
  </si>
  <si>
    <t>Significant savings alleged but not quantified</t>
  </si>
  <si>
    <t>Named-company employee review describing rigid preferred-vendor process</t>
  </si>
  <si>
    <t>Glassdoor</t>
  </si>
  <si>
    <t>Dobler Management - Starts at the top</t>
  </si>
  <si>
    <t>High-priority insider review</t>
  </si>
  <si>
    <t>Single anonymous employee review; no financial relationship between Dobler and preferred vendors is alleged. Do not characterize as kickback evidence.</t>
  </si>
  <si>
    <t>E201</t>
  </si>
  <si>
    <t>Florida / national</t>
  </si>
  <si>
    <t>Sentry Management Inc.; Sentry Insurance Agency Inc.; multiple insurance broker relationships</t>
  </si>
  <si>
    <t>Management company / insurance affiliate / insurance brokers</t>
  </si>
  <si>
    <t>INSURANCE — Management disclosure says insurance relationships may generate financial or other benefit to management or affiliates</t>
  </si>
  <si>
    <t>Sentry Management's affiliated-business disclosure says it or affiliates may use third-party vendors for insurance products and other services from which a financial or other benefit may be realized. It identifies Sentry Insurance Agency as an affiliate and lists multiple insurance agencies/brokers among disclosed relationships, while expressly telling associations they are free to shop for better services and rates.</t>
  </si>
  <si>
    <t>Financial or other benefit disclosed; amount not stated</t>
  </si>
  <si>
    <t>Primary-source insurance-affiliation and economic-benefit disclosure</t>
  </si>
  <si>
    <t>Sentry Management</t>
  </si>
  <si>
    <t>Affiliated Business Disclosure</t>
  </si>
  <si>
    <t>This is disclosure, not evidence of misconduct. The explicit freedom-to-shop language is analytically important when comparing structures that require use of an affiliated broker.</t>
  </si>
  <si>
    <t>E202</t>
  </si>
  <si>
    <t>HOA management company contract terms</t>
  </si>
  <si>
    <t>JellyBird HOA Management; affiliate insurance brokerage and premium finance company</t>
  </si>
  <si>
    <t>Management company / affiliated insurance brokerage / premium finance</t>
  </si>
  <si>
    <t>INSURANCE — Management contract requires association to use affiliated insurance brokerage</t>
  </si>
  <si>
    <t>JellyBird's published terms state that the managing agent is affiliated with an insurance agency and premium finance company and that the association 'shall utilize' the affiliate insurance brokerage; the terms also authorize the manager to bind coverage and financing through the affiliate.</t>
  </si>
  <si>
    <t>No commission amount stated</t>
  </si>
  <si>
    <t>Primary-source mandatory affiliated-insurance procurement structure</t>
  </si>
  <si>
    <t>JellyBird HOA</t>
  </si>
  <si>
    <t>Terms and Conditions</t>
  </si>
  <si>
    <t>This is a disclosed contractual arrangement, not an allegation of wrongdoing. It is directly relevant to the user's requested category of restrictions on shopping insurance outside a management-affiliated/preferred agent.</t>
  </si>
  <si>
    <t>E203</t>
  </si>
  <si>
    <t>Insurance agency marketing to property managers</t>
  </si>
  <si>
    <t>Insurance Pro Agencies</t>
  </si>
  <si>
    <t>Insurance agency / property managers / HOA referrals</t>
  </si>
  <si>
    <t>INSURANCE — Insurance agency advertises commission sharing with licensed property managers for HOA insurance referrals</t>
  </si>
  <si>
    <t>Insurance Pro Agencies markets an insurance referral program to property managers and states licensed partners can receive commission sharing of up to 50% of the agency's share. Its illustration specifically includes HOA policies as recurring referral income.</t>
  </si>
  <si>
    <t>Up to 50% of agency commission share; example uses 5 HOA policies × $1,000 average annual commission</t>
  </si>
  <si>
    <t>Primary-source insurance commission-sharing model</t>
  </si>
  <si>
    <t>Property Managers: Turn Insurance Conversations into Referral Income</t>
  </si>
  <si>
    <t>This is an openly marketed compensation model, not evidence that any particular HOA management firm participates. Licensing and legality are jurisdiction-specific.</t>
  </si>
  <si>
    <t>E204</t>
  </si>
  <si>
    <t>Community association industry advisory</t>
  </si>
  <si>
    <t>CAM Advisors</t>
  </si>
  <si>
    <t>Management companies / insurance brokers / licensed affiliates</t>
  </si>
  <si>
    <t>INSURANCE — Industry advisory models insurance as management-company revenue through referral fees, commission splits and owned agencies</t>
  </si>
  <si>
    <t>CAM Advisors describes multiple ways HOA management companies can monetize association insurance: flat referral compensation, commission participation through a licensed affiliate, and a fully owned licensed insurance agency. The article models the potential EBITDA contribution from these structures.</t>
  </si>
  <si>
    <t>Illustrative model uses $600,000 gross commission; ~$100,000 flat referral assumption; commission split/owned-agency scenarios</t>
  </si>
  <si>
    <t>Industry-source structural analysis of insurance revenue sharing</t>
  </si>
  <si>
    <t>Insurance as a Revenue Driver for HOA Management Companies</t>
  </si>
  <si>
    <t>Illustrative economics, not proof of a particular company's conduct or prevalence. Useful because it expressly describes insurance monetization within HOA management.</t>
  </si>
  <si>
    <t>E205</t>
  </si>
  <si>
    <t>Association management agreement</t>
  </si>
  <si>
    <t>Certified Management of Austin</t>
  </si>
  <si>
    <t>Management company / preferred insurance agency</t>
  </si>
  <si>
    <t>INSURANCE — Management agreement limits manager's insurance-bidding obligation to its insurance program and chosen agency</t>
  </si>
  <si>
    <t>A published Certified Management of Austin agreement states an association may participate in CMA's insurance program for an annual fee; if it does, CMA solicits insurance recommendations and bids from the qualified insurance agency used with that program. If the association does not participate, CMA is not required to solicit insurance recommendations or bids.</t>
  </si>
  <si>
    <t>$125 annual insurance-program participation fee</t>
  </si>
  <si>
    <t>Primary-source management-contract insurance procurement structure</t>
  </si>
  <si>
    <t>Certified Management of Austin agreement</t>
  </si>
  <si>
    <t>Association Management Agreement</t>
  </si>
  <si>
    <t>The agreement says participation is optional. No commission sharing or improper steering is established.</t>
  </si>
  <si>
    <t>E206</t>
  </si>
  <si>
    <t>Progressive Association Management</t>
  </si>
  <si>
    <t>Management company / preferred vendors / financial institutions</t>
  </si>
  <si>
    <t>Management agreement discloses vendor fees that may be shared with affiliates</t>
  </si>
  <si>
    <t>A published Progressive Association Management sample contract states the manager operates banking and Preferred Vendor programs and may receive fees from vendors, with those fees potentially shared with affiliates.</t>
  </si>
  <si>
    <t>Vendor fees disclosed; amounts not stated</t>
  </si>
  <si>
    <t>Primary-source management-contract revenue disclosure</t>
  </si>
  <si>
    <t>Managing Happiness for Community Associations - sample contract</t>
  </si>
  <si>
    <t>The visible provision is broader than insurance and does not establish that insurance commissions are among the shared fees. Retained as corroborating preferred-vendor revenue structure.</t>
  </si>
  <si>
    <t>E217</t>
  </si>
  <si>
    <t>HOA vendor/referral marketplace</t>
  </si>
  <si>
    <t>HOA.com</t>
  </si>
  <si>
    <t>Property management companies / vendors / referral network</t>
  </si>
  <si>
    <t>Platform pays property management companies 20% when their vendors join paid referral network</t>
  </si>
  <si>
    <t>HOA.com's property-manager program tells management companies they can increase revenue by inviting vendors into its Certified Pro referral network. It advertises a 20% referral reward for each vendor that becomes a Certified Pro, with additional downstream referral rewards.</t>
  </si>
  <si>
    <t>$357/year vendor cost; 20% referral reward; example shows $10,700+ payout with 100 vendors</t>
  </si>
  <si>
    <t>Primary-source management/vendor referral-revenue structure</t>
  </si>
  <si>
    <t>Solutions for Property Managers</t>
  </si>
  <si>
    <t>This is openly disclosed marketing, not wrongdoing and not evidence that an association's contract award is conditioned on participation. Keep separate from concealed kickbacks.</t>
  </si>
  <si>
    <t>E218</t>
  </si>
  <si>
    <t>United States</t>
  </si>
  <si>
    <t>AmLo Community Management</t>
  </si>
  <si>
    <t>Management company says some firms add 10%-15% to vendor invoices or steer communities toward vendors paying referral fees</t>
  </si>
  <si>
    <t>AmLo Community Management advises boards to ask whether a management company marks up vendor invoices or takes referral fees, stating that some firms add 10%-15% to vendor invoices and others steer communities toward preferred vendors that pay referral fees or kickbacks.</t>
  </si>
  <si>
    <t>Typical markup asserted as 10%-15%</t>
  </si>
  <si>
    <t>Named industry-source description of vendor-markup/referral mechanisms</t>
  </si>
  <si>
    <t>12 Questions to Ask Before Hiring an HOA Management Company</t>
  </si>
  <si>
    <t>Competitor/industry advisory rather than independent prevalence research. Do not treat the 10%-15% figure as a measured industry rate.</t>
  </si>
  <si>
    <t>E220</t>
  </si>
  <si>
    <t>HOA insurance risk-control case study</t>
  </si>
  <si>
    <t>Unnamed HOA; HOA insurance broker; board treasurer</t>
  </si>
  <si>
    <t>Board treasurer / insurance procurement</t>
  </si>
  <si>
    <t>INSURANCE — Insurance-premium comparison exposed duplicate fake premium payments and nearly $90,000 embezzlement</t>
  </si>
  <si>
    <t>An insurer's risk-control case study says an HOA president learned from the association's broker that actual insurance premiums had risen only about 3%, contrary to what association finances suggested. Review of the books found the treasurer had created a phony account with a name almost identical to the insurer and was issuing duplicate premium checks to himself.</t>
  </si>
  <si>
    <t>Nearly $90,000 over three years; actual premium increase about 3%</t>
  </si>
  <si>
    <t>Industry case-study insurance fraud discovery</t>
  </si>
  <si>
    <t>Embezzlement</t>
  </si>
  <si>
    <t>High-value insurance case study</t>
  </si>
  <si>
    <t>This is insurance-related financial fraud rather than broker commission sharing or preferred-agent steering. Keep within the insurance lane but code separately from broker-selection incentives.</t>
  </si>
  <si>
    <t>E222</t>
  </si>
  <si>
    <t>RiskWell; unnamed large DFW townhome association; prior broker</t>
  </si>
  <si>
    <t>Insurance brokers / HOA board</t>
  </si>
  <si>
    <t>INSURANCE — Replacement broker says it corrected prior broker's coverage problems and saved association $58,000</t>
  </si>
  <si>
    <t>A DFW insurance broker publicly described taking over a large townhome association after what it characterized as major problems left by the prior broker. The broker said it corrected the coverage and saved the association $58,000 in annual premium before later losing the account to another broker.</t>
  </si>
  <si>
    <t>$58,000 annual premium savings reported</t>
  </si>
  <si>
    <t>Named broker first-person insurance comparison</t>
  </si>
  <si>
    <t>LinkedIn</t>
  </si>
  <si>
    <t>Lost Townhome Association Client to Unqualified Friend</t>
  </si>
  <si>
    <t>Broker-authored account and therefore interested-party evidence. Useful as a quantified broker-switch comparison, not independent proof that the prior broker acted improperly.</t>
  </si>
  <si>
    <t>E225</t>
  </si>
  <si>
    <t>Community-association industry participant</t>
  </si>
  <si>
    <t>Unnamed management companies; vendors; banks</t>
  </si>
  <si>
    <t>Management companies / vendors / banks</t>
  </si>
  <si>
    <t>Industry participant alleges placement fees for vendor work and bank-side kickback arrangements tied to association deposits/payment timing</t>
  </si>
  <si>
    <t>An experienced community-association discussion participant said some management companies earn 'placement fees' for getting specific vendors association work and alleged some delay vendor payments in connection with bank arrangements that benefit the bank while association funds earn less.</t>
  </si>
  <si>
    <t>First-person industry allegation about vendor and banking incentives</t>
  </si>
  <si>
    <t>Real Talk about Property Management Corporations</t>
  </si>
  <si>
    <t>High-value insider/industry lead</t>
  </si>
  <si>
    <t>Anonymous industry assertion with no named company or supporting contract. Retain as an allegation/search lead, not evidence of prevalence or a proven banking kickback.</t>
  </si>
  <si>
    <t>E227</t>
  </si>
  <si>
    <t>Industry participant commenting on FirstService discussion</t>
  </si>
  <si>
    <t>FirstService Residential; unnamed preferred vendors</t>
  </si>
  <si>
    <t>Management company / preferred-vendor program</t>
  </si>
  <si>
    <t>Commenter alleges preferred-vendor advertising/pay-to-play structure used instead of direct kickbacks</t>
  </si>
  <si>
    <t>In a FirstService Residential discussion, an industry-adjacent commenter alleged that in Florida some management-company preferred-vendor programs require vendors to advertise/pay for access and characterized the arrangement as a legal workaround to prohibited kickbacks. The commenter used a hypothetical $5,000 payment to describe the concern.</t>
  </si>
  <si>
    <t>$5,000 used by commenter as illustrative comparison</t>
  </si>
  <si>
    <t>Named-company-context insider allegation about pay-to-play vendor program</t>
  </si>
  <si>
    <t>Reddit / HOA comment</t>
  </si>
  <si>
    <t>FirstService Residential - Predatory management (preferred-vendor comment)</t>
  </si>
  <si>
    <t>Anonymous commenter; the indexed thread does not establish that FirstService itself charged the described fee. Treat this as a search lead about preferred-vendor advertising structures, not a factual claim about FirstService.</t>
  </si>
  <si>
    <t>E228</t>
  </si>
  <si>
    <t>FirstService Residential; FirstService insurance operations / outside agents</t>
  </si>
  <si>
    <t>Management company / insurance affiliate / insurance agents</t>
  </si>
  <si>
    <t>INSURANCE — Commenter alleges management group writes association insurance or receives a 50% split with outside agents</t>
  </si>
  <si>
    <t>A separate commenter in the same FirstService discussion alleged that the management group has licensed insurance operations and either writes association/condo policies or receives a 50% split with other agents/agencies when policies are turned over, describing this as a back-end incentive system.</t>
  </si>
  <si>
    <t>50% split alleged</t>
  </si>
  <si>
    <t>Named-company-context insurance commission-sharing allegation</t>
  </si>
  <si>
    <t>FirstService Residential - Predatory management (insurance split comment)</t>
  </si>
  <si>
    <t>This is an anonymous allegation, not verified evidence of FirstService's actual commission structure. It belongs in the insurance lane precisely so it can later be checked against company disclosures, licenses and contracts.</t>
  </si>
  <si>
    <t>E257</t>
  </si>
  <si>
    <t>Management-company employee + vendor / arrests and fraud charges</t>
  </si>
  <si>
    <t>The Management Trust; John Michael Fewer; David Neil McArthur; multiple HOA clients</t>
  </si>
  <si>
    <t>Management-company employee / related vendor / HOA accounts payable</t>
  </si>
  <si>
    <t>Ghost-vendor invoices / services allegedly not performed / manager-vendor collusion</t>
  </si>
  <si>
    <t>Scottsdale police alleged that Management Trust employee John Michael Fewer and David Neil McArthur used McArthur's business to invoice HOA clients for services that were never performed. Police said the pair had allegedly taken roughly $200,000 from eight HOAs over about two years before their June 2017 arrests.</t>
  </si>
  <si>
    <t>About $200,000 alleged across 8 HOAs</t>
  </si>
  <si>
    <t>Police investigation / arrests / fraudulent-schemes charges</t>
  </si>
  <si>
    <t>ABC15 Arizona / Scottsdale Police reporting</t>
  </si>
  <si>
    <t>PD: HOA's ripped off by management co. employee</t>
  </si>
  <si>
    <t>High-priority manager/vendor fraud case; LARGE MANAGEMENT COMPANY</t>
  </si>
  <si>
    <t>Arrests and charges are not convictions. Contemporary reporting identifies Fewer as an employee of The Management Trust and describes McArthur's business as the invoicing vehicle. Approximate conduct period inferred only from police statement that theft occurred for about two years before June 2017.</t>
  </si>
  <si>
    <t>E266</t>
  </si>
  <si>
    <t>Managers / building workers / union and federal labor matter</t>
  </si>
  <si>
    <t>FirstService Residential Minnesota; SEIU Local 26; Kevin Borowske and other building workers</t>
  </si>
  <si>
    <t>Large national management company / building managers, caretakers and desk attendants</t>
  </si>
  <si>
    <t>INDUSTRY WORKFORCE — anti-union / protected-activity allegations; NLRB settlement</t>
  </si>
  <si>
    <t>FirstService Residential Minnesota workers alleged the company interfered with protected organizing activity, including directing workers not to discuss working conditions and union issues. Reporting states the NLRB found merit in a complaint and an April 2023 settlement required the company to notify workers of rights to discuss wages, hours, working conditions and unions, not discourage union/media discussions, and rescind a global media policy restricting employee communications with the press.</t>
  </si>
  <si>
    <t>No monetary penalty reported; NLRB settlement required policy changes and employee notices</t>
  </si>
  <si>
    <t>NLRB unfair-labor-practice process / settlement</t>
  </si>
  <si>
    <t>National Labor Relations Board / Minnesota Reformer reporting</t>
  </si>
  <si>
    <t>Federal labor board settlement with FirstService Residential Minnesota over anti-union tactics</t>
  </si>
  <si>
    <t>High-priority industry-workforce / manager-employee practices record; LARGE MANAGEMENT COMPANY</t>
  </si>
  <si>
    <t>This is not a procurement or homeowner-financial-extraction case and is intentionally coded in a separate workforce lane. Settlement documents the federal labor dispute and remedial obligations; it should not be characterized as a criminal or fraud finding. Related later NLRB matters should be treated as separate only if they involve distinct underlying conduct.</t>
  </si>
  <si>
    <t>Industry Workforce / Retaliation / Labor Practices</t>
  </si>
  <si>
    <t>E267</t>
  </si>
  <si>
    <t>Workers / service-contract restriction / legislative response</t>
  </si>
  <si>
    <t>FirstService Residential Minnesota; HOA/condominium association clients; building workers</t>
  </si>
  <si>
    <t>Large national management company / association service contracts / employee mobility</t>
  </si>
  <si>
    <t>CONTROL / ANTITRUST-ADJACENT — no-hire clauses in HOA management contracts restrict associations from hiring onsite workers</t>
  </si>
  <si>
    <t>Reporting documented FirstService Residential Minnesota management contracts containing provisions that barred association clients from directly or indirectly hiring FirstService workers after termination of the management contract. Workers and labor advocates argued the clauses restricted employee mobility and made it harder for associations to change management while retaining trusted onsite staff. Minnesota lawmakers later targeted these 'shadow noncompete' or no-hire clauses in service-provider contracts.</t>
  </si>
  <si>
    <t>No direct monetary amount; restriction allegedly increased switching costs and worker dependence</t>
  </si>
  <si>
    <t>Documented contract provision / worker complaints / legislative scrutiny</t>
  </si>
  <si>
    <t>Minnesota Reformer / Minnesota Legislature reporting</t>
  </si>
  <si>
    <t>Minnesota banned noncompetes. A major property manager has a workaround.</t>
  </si>
  <si>
    <t>High-priority control / competition mechanism; LARGE MANAGEMENT COMPANY</t>
  </si>
  <si>
    <t>This is separate from the FirstService Minnesota NLRB union matter. The record concerns no-hire restrictions embedded in service contracts between management and associations, not individual employee noncompetes. Later Minnesota legislation banned similar service-provider no-hire/non-solicitation provisions. This row documents the control mechanism and debate; it does not label the clause an adjudicated antitrust violation.</t>
  </si>
  <si>
    <t>Control / Competition / Labor Mobility</t>
  </si>
  <si>
    <t>E283</t>
  </si>
  <si>
    <t>Industry Professional / Employee</t>
  </si>
  <si>
    <t>Anonymous employee review</t>
  </si>
  <si>
    <t>United States / location not stated</t>
  </si>
  <si>
    <t>FirstService Residential; anonymous employee</t>
  </si>
  <si>
    <t>Large national management company / employee restrictive covenant</t>
  </si>
  <si>
    <t>CONTROL / LABOR MOBILITY — employee reports two-year noncompete/non-solicitation restriction</t>
  </si>
  <si>
    <t>An anonymous FirstService Residential employee review warned new hires about a non-compete, non-solicitation and 'non-kickback' document that the reviewer said could keep an employee on the sidelines for two years after leaving the company.</t>
  </si>
  <si>
    <t>Two-year restriction alleged by reviewer; no monetary amount</t>
  </si>
  <si>
    <t>First-person anonymous employee review</t>
  </si>
  <si>
    <t>New Hire Beware of Non-Compete Requirement - FirstService Residential employee review</t>
  </si>
  <si>
    <t>Complaint-level large-company workforce/control record</t>
  </si>
  <si>
    <t>Anonymous employee account only. This is distinct from E267, which concerns no-hire clauses imposed on HOA/condo clients in management service contracts; this row concerns an employee's own alleged restrictive covenant.</t>
  </si>
  <si>
    <t>E370</t>
  </si>
  <si>
    <t>Recorded HOA bylaws/declaration</t>
  </si>
  <si>
    <t>El Lago Point Homeowners Association; PALT Inc.; Alexander Najem; Timothy Leppard; Brian McLaughlin</t>
  </si>
  <si>
    <t>Developer-appointed governance / non-member nonprofit / owner assessments / lake maintenance</t>
  </si>
  <si>
    <t>DEVELOPER STRUCTURE + NO MEMBERS — HOA corporation expressly has no members while owners fund association and developer-appointed committee governs</t>
  </si>
  <si>
    <t>El Lago Point's bylaws state that the nonprofit corporation has no members. Its declaration separately defines the El Lago Point Homeowners Association as a committee of three individuals appointed by PALT Inc. and defines lot purchasers separately as Owners. Owners are assessed for common-area maintenance including the lake, and additional assessments may be imposed when the maintenance fund is insufficient. This creates an unusual structure in which property owners bear association obligations without being corporate members under the bylaws.</t>
  </si>
  <si>
    <t>$1,000 annual assessment per Owner documented in declaration, plus possible additional pro-rata deficiency assessments</t>
  </si>
  <si>
    <t>Recorded governing-document mechanism / no wrongdoing finding</t>
  </si>
  <si>
    <t>City of El Lago / El Lago Point governing documents</t>
  </si>
  <si>
    <t>El Lago Point Bylaws and Covenants, Conditions and Restrictions</t>
  </si>
  <si>
    <t>Highest-priority non-member owner / developer-appointed HOA structure</t>
  </si>
  <si>
    <t>Do not say the homeowners are not Owners; they are Owners under the declaration. The unusual point is that the corporation has no Members while the declaration defines the HOA through a three-person declarant-appointed committee. Statutory overlays may affect how the documents operate and should be separately analyzed before legal conclusions.</t>
  </si>
  <si>
    <t>E372</t>
  </si>
  <si>
    <t>Recorded declaration / reserved telecom revenue rights</t>
  </si>
  <si>
    <t>Honey Creek community; Declarant; association and owners</t>
  </si>
  <si>
    <t>Declarant / communications-technology equipment / exclusive revenue rights / telecom and digital services</t>
  </si>
  <si>
    <t>DEVELOPER COMMERCIAL RIGHTS + DATA/TELECOM — declaration reserves exclusive right to income from developer-controlled communications equipment and services</t>
  </si>
  <si>
    <t>A recorded Texas declaration for Honey Creek reserves to the Declarant and its assigns rights concerning communications/technology equipment used to provide telecommunications, cellular, video or digital services. The document expressly reserves to the Declarant the sole and exclusive right to collect and retain income or proceeds connected with the equipment and services and states that no other owner or successor obtains rights to that income absent the Declarant's written approval.</t>
  </si>
  <si>
    <t>No amount stated; exclusive developer income/proceeds right documented</t>
  </si>
  <si>
    <t>Texas HOA Management Certificate Search / recorded Honey Creek declaration</t>
  </si>
  <si>
    <t>Honey Creek Declaration — communications/technology equipment rights</t>
  </si>
  <si>
    <t>Highest-priority developer-retained telecom/data revenue mechanism</t>
  </si>
  <si>
    <t>This is precisely the kind of documentary evidence that can support a developer-retained technology-revenue mechanism. It does NOT establish an edge/mini-data-center use, nor does it prove the reserved rights were exercised or abusive.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</si>
</sst>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_);_(@_)"/>
    <numFmt numFmtId="165" formatCode="_(* #,##0_);_(* \(#,##0\);_(* \-_);_(@_)"/>
    <numFmt numFmtId="166" formatCode="_(\$* #,##0.00_);_(\$* \(#,##0.00\);_(\$* \-??_);_(@_)"/>
    <numFmt numFmtId="167" formatCode="_(\$* #,##0_);_(\$* \(#,##0\);_(\$* \-_);_(@_)"/>
  </numFmts>
  <fonts count="29" x14ac:knownFonts="1">
    <font>
      <sz val="10"/>
      <name val="Arial"/>
      <family val="2"/>
    </font>
    <font>
      <sz val="10"/>
      <name val="Arial"/>
      <charset val="1"/>
    </font>
    <font>
      <sz val="11"/>
      <color theme="10"/>
      <name val="Calibri"/>
      <charset val="1"/>
    </font>
    <font>
      <sz val="11"/>
      <name val="Calibri"/>
      <charset val="1"/>
    </font>
    <font>
      <b/>
      <sz val="22"/>
      <color rgb="FFFFFFFF"/>
      <name val="Arial"/>
      <charset val="1"/>
    </font>
    <font>
      <b/>
      <sz val="14"/>
      <color rgb="FFFFFFFF"/>
      <name val="Arial"/>
      <charset val="1"/>
    </font>
    <font>
      <sz val="12"/>
      <color rgb="FF183446"/>
      <name val="Arial"/>
      <charset val="1"/>
    </font>
    <font>
      <b/>
      <sz val="11"/>
      <color rgb="FF0B7A7D"/>
      <name val="Arial"/>
      <charset val="1"/>
    </font>
    <font>
      <b/>
      <sz val="28"/>
      <color rgb="FFFFFFFF"/>
      <name val="Arial"/>
      <charset val="1"/>
    </font>
    <font>
      <b/>
      <sz val="28"/>
      <color rgb="FF0B1F33"/>
      <name val="Arial"/>
      <charset val="1"/>
    </font>
    <font>
      <b/>
      <sz val="10"/>
      <color rgb="FFFFFFFF"/>
      <name val="Arial"/>
      <charset val="1"/>
    </font>
    <font>
      <b/>
      <sz val="10"/>
      <color rgb="FF0B1F33"/>
      <name val="Arial"/>
      <charset val="1"/>
    </font>
    <font>
      <b/>
      <sz val="10"/>
      <color rgb="FF003B4D"/>
      <name val="Arial"/>
      <charset val="1"/>
    </font>
    <font>
      <b/>
      <sz val="10"/>
      <color rgb="FF005E66"/>
      <name val="Arial"/>
      <charset val="1"/>
    </font>
    <font>
      <sz val="10"/>
      <color rgb="FF0B1F33"/>
      <name val="Arial"/>
      <charset val="1"/>
    </font>
    <font>
      <b/>
      <sz val="13"/>
      <color rgb="FF003B4D"/>
      <name val="Arial"/>
      <charset val="1"/>
    </font>
    <font>
      <b/>
      <sz val="15"/>
      <color rgb="FFFFFFFF"/>
      <name val="Arial"/>
      <charset val="1"/>
    </font>
    <font>
      <b/>
      <sz val="12"/>
      <color rgb="FF5A3A00"/>
      <name val="Arial"/>
      <charset val="1"/>
    </font>
    <font>
      <sz val="10"/>
      <color rgb="FF183446"/>
      <name val="Arial"/>
      <charset val="1"/>
    </font>
    <font>
      <b/>
      <sz val="10"/>
      <color rgb="FF183446"/>
      <name val="Arial"/>
      <charset val="1"/>
    </font>
    <font>
      <b/>
      <sz val="10"/>
      <color rgb="FF073B4C"/>
      <name val="Arial"/>
      <charset val="1"/>
    </font>
    <font>
      <b/>
      <sz val="15"/>
      <color rgb="FFFFFFFF"/>
      <name val="Calibri"/>
      <charset val="1"/>
    </font>
    <font>
      <i/>
      <sz val="10"/>
      <name val="Calibri"/>
      <charset val="1"/>
    </font>
    <font>
      <b/>
      <sz val="9"/>
      <color rgb="FF000000"/>
      <name val="Calibri"/>
      <charset val="1"/>
    </font>
    <font>
      <b/>
      <sz val="11"/>
      <color rgb="FF000000"/>
      <name val="Calibri"/>
      <charset val="1"/>
    </font>
    <font>
      <b/>
      <sz val="10"/>
      <color rgb="FFFFFFFF"/>
      <name val="Calibri"/>
      <charset val="1"/>
    </font>
    <font>
      <b/>
      <sz val="10"/>
      <name val="Calibri"/>
      <charset val="1"/>
    </font>
    <font>
      <sz val="10"/>
      <name val="Calibri"/>
      <charset val="1"/>
    </font>
    <font>
      <sz val="9"/>
      <color rgb="FF0563C1"/>
      <name val="Calibri"/>
      <charset val="1"/>
    </font>
  </fonts>
  <fills count="27">
    <fill>
      <patternFill patternType="none"/>
    </fill>
    <fill>
      <patternFill patternType="gray125"/>
    </fill>
    <fill>
      <patternFill patternType="solid">
        <fgColor rgb="FF003B4D"/>
        <bgColor rgb="FF073B4C"/>
      </patternFill>
    </fill>
    <fill>
      <patternFill patternType="solid">
        <fgColor rgb="FFF7FAFA"/>
        <bgColor rgb="FFFFFFFF"/>
      </patternFill>
    </fill>
    <fill>
      <patternFill patternType="solid">
        <fgColor rgb="FFB90065"/>
        <bgColor rgb="FFC0006F"/>
      </patternFill>
    </fill>
    <fill>
      <patternFill patternType="solid">
        <fgColor rgb="FFFFFFFF"/>
        <bgColor rgb="FFF7FAFA"/>
      </patternFill>
    </fill>
    <fill>
      <patternFill patternType="solid">
        <fgColor rgb="FFE7F4F4"/>
        <bgColor rgb="FFE7F3F4"/>
      </patternFill>
    </fill>
    <fill>
      <patternFill patternType="solid">
        <fgColor rgb="FF007B7E"/>
        <bgColor rgb="FF0B7A7D"/>
      </patternFill>
    </fill>
    <fill>
      <patternFill patternType="solid">
        <fgColor rgb="FFC7D934"/>
        <bgColor rgb="FFC6DF28"/>
      </patternFill>
    </fill>
    <fill>
      <patternFill patternType="solid">
        <fgColor rgb="FF005E66"/>
        <bgColor rgb="FF1F4E5F"/>
      </patternFill>
    </fill>
    <fill>
      <patternFill patternType="solid">
        <fgColor rgb="FFD7ECEE"/>
        <bgColor rgb="FFD9EEF0"/>
      </patternFill>
    </fill>
    <fill>
      <patternFill patternType="solid">
        <fgColor rgb="FFE7F3F4"/>
        <bgColor rgb="FFE7F4F4"/>
      </patternFill>
    </fill>
    <fill>
      <patternFill patternType="solid">
        <fgColor rgb="FFFFF2CC"/>
        <bgColor rgb="FFFFF4CF"/>
      </patternFill>
    </fill>
    <fill>
      <patternFill patternType="solid">
        <fgColor rgb="FFFCE4D6"/>
        <bgColor rgb="FFFFF2CC"/>
      </patternFill>
    </fill>
    <fill>
      <patternFill patternType="solid">
        <fgColor rgb="FFDDEBF7"/>
        <bgColor rgb="FFD9EAF7"/>
      </patternFill>
    </fill>
    <fill>
      <patternFill patternType="solid">
        <fgColor rgb="FFF4CCCC"/>
        <bgColor rgb="FFFCE4D6"/>
      </patternFill>
    </fill>
    <fill>
      <patternFill patternType="solid">
        <fgColor rgb="FFE4DFEC"/>
        <bgColor rgb="FFDDEBF7"/>
      </patternFill>
    </fill>
    <fill>
      <patternFill patternType="solid">
        <fgColor rgb="FFE2F0D9"/>
        <bgColor rgb="FFD9EEF0"/>
      </patternFill>
    </fill>
    <fill>
      <patternFill patternType="solid">
        <fgColor rgb="FFFFF4CF"/>
        <bgColor rgb="FFFFF2CC"/>
      </patternFill>
    </fill>
    <fill>
      <patternFill patternType="solid">
        <fgColor rgb="FF073B4C"/>
        <bgColor rgb="FF003B4D"/>
      </patternFill>
    </fill>
    <fill>
      <patternFill patternType="solid">
        <fgColor rgb="FF0B7A7D"/>
        <bgColor rgb="FF007B7E"/>
      </patternFill>
    </fill>
    <fill>
      <patternFill patternType="solid">
        <fgColor rgb="FFC0006F"/>
        <bgColor rgb="FFB90065"/>
      </patternFill>
    </fill>
    <fill>
      <patternFill patternType="solid">
        <fgColor rgb="FFC6DF28"/>
        <bgColor rgb="FFC7D934"/>
      </patternFill>
    </fill>
    <fill>
      <patternFill patternType="solid">
        <fgColor rgb="FF0F8B8D"/>
        <bgColor rgb="FF0B7A7D"/>
      </patternFill>
    </fill>
    <fill>
      <patternFill patternType="solid">
        <fgColor rgb="FFD9EEF0"/>
        <bgColor rgb="FFD7ECEE"/>
      </patternFill>
    </fill>
    <fill>
      <patternFill patternType="solid">
        <fgColor rgb="FFD9EAF7"/>
        <bgColor rgb="FFDDEBF7"/>
      </patternFill>
    </fill>
    <fill>
      <patternFill patternType="solid">
        <fgColor rgb="FF1F4E5F"/>
        <bgColor rgb="FF073B4C"/>
      </patternFill>
    </fill>
  </fills>
  <borders count="6">
    <border>
      <left/>
      <right/>
      <top/>
      <bottom/>
      <diagonal/>
    </border>
    <border>
      <left style="thin">
        <color rgb="FF0B7A7D"/>
      </left>
      <right style="thin">
        <color rgb="FF0B7A7D"/>
      </right>
      <top style="thin">
        <color rgb="FF0B7A7D"/>
      </top>
      <bottom style="thin">
        <color rgb="FF0B7A7D"/>
      </bottom>
      <diagonal/>
    </border>
    <border>
      <left style="thin">
        <color rgb="FFB8D8D8"/>
      </left>
      <right style="thin">
        <color rgb="FFB8D8D8"/>
      </right>
      <top style="thin">
        <color rgb="FFB8D8D8"/>
      </top>
      <bottom style="thin">
        <color rgb="FFB8D8D8"/>
      </bottom>
      <diagonal/>
    </border>
    <border>
      <left style="medium">
        <color rgb="FFF2C94C"/>
      </left>
      <right style="medium">
        <color rgb="FFF2C94C"/>
      </right>
      <top style="medium">
        <color rgb="FFF2C94C"/>
      </top>
      <bottom style="medium">
        <color rgb="FFF2C94C"/>
      </bottom>
      <diagonal/>
    </border>
    <border>
      <left style="thin">
        <color rgb="FFFFFFFF"/>
      </left>
      <right style="thin">
        <color rgb="FFFFFFFF"/>
      </right>
      <top style="thin">
        <color rgb="FFFFFFFF"/>
      </top>
      <bottom style="thin">
        <color rgb="FFFFFFFF"/>
      </bottom>
      <diagonal/>
    </border>
    <border>
      <left style="thin">
        <color rgb="FF073B4C"/>
      </left>
      <right style="thin">
        <color rgb="FF073B4C"/>
      </right>
      <top style="thin">
        <color rgb="FF073B4C"/>
      </top>
      <bottom style="thin">
        <color rgb="FF073B4C"/>
      </bottom>
      <diagonal/>
    </border>
  </borders>
  <cellStyleXfs count="22">
    <xf numFmtId="0" fontId="0" fillId="0" borderId="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0" fontId="2" fillId="0" borderId="0" applyBorder="0" applyAlignment="0" applyProtection="0"/>
    <xf numFmtId="0" fontId="1" fillId="0" borderId="0"/>
    <xf numFmtId="0" fontId="3" fillId="0" borderId="0"/>
    <xf numFmtId="0" fontId="1" fillId="0" borderId="0"/>
    <xf numFmtId="0" fontId="1" fillId="0" borderId="0"/>
    <xf numFmtId="0" fontId="1" fillId="0" borderId="0"/>
    <xf numFmtId="9" fontId="1" fillId="0" borderId="0" applyBorder="0" applyAlignment="0" applyProtection="0"/>
    <xf numFmtId="9" fontId="1" fillId="0" borderId="0" applyBorder="0" applyAlignment="0" applyProtection="0"/>
    <xf numFmtId="9" fontId="1" fillId="0" borderId="0" applyBorder="0" applyAlignment="0" applyProtection="0"/>
  </cellStyleXfs>
  <cellXfs count="90">
    <xf numFmtId="0" fontId="0" fillId="0" borderId="0" xfId="0"/>
    <xf numFmtId="0" fontId="14" fillId="5" borderId="0" xfId="16" applyFont="1" applyFill="1" applyAlignment="1">
      <alignment vertical="center" wrapText="1"/>
    </xf>
    <xf numFmtId="0" fontId="12" fillId="10" borderId="0" xfId="16" applyFont="1" applyFill="1" applyAlignment="1">
      <alignment horizontal="center"/>
    </xf>
    <xf numFmtId="0" fontId="5" fillId="9" borderId="0" xfId="16" applyFont="1" applyFill="1"/>
    <xf numFmtId="0" fontId="10" fillId="4" borderId="0" xfId="16" applyFont="1" applyFill="1" applyAlignment="1">
      <alignment horizontal="center"/>
    </xf>
    <xf numFmtId="0" fontId="11" fillId="8" borderId="0" xfId="16" applyFont="1" applyFill="1" applyAlignment="1">
      <alignment horizontal="center"/>
    </xf>
    <xf numFmtId="0" fontId="10" fillId="7" borderId="0" xfId="16" applyFont="1" applyFill="1" applyAlignment="1">
      <alignment horizontal="center"/>
    </xf>
    <xf numFmtId="0" fontId="8" fillId="4" borderId="0" xfId="16" applyFont="1" applyFill="1" applyAlignment="1">
      <alignment horizontal="center" vertical="center"/>
    </xf>
    <xf numFmtId="0" fontId="9" fillId="8" borderId="0" xfId="16" applyFont="1" applyFill="1" applyAlignment="1">
      <alignment horizontal="center" vertical="center"/>
    </xf>
    <xf numFmtId="0" fontId="8" fillId="7" borderId="0" xfId="16" applyFont="1" applyFill="1" applyAlignment="1">
      <alignment horizontal="center" vertical="center"/>
    </xf>
    <xf numFmtId="0" fontId="7" fillId="6" borderId="2" xfId="18" applyFont="1" applyFill="1" applyBorder="1" applyAlignment="1">
      <alignment horizontal="left" vertical="center" wrapText="1"/>
    </xf>
    <xf numFmtId="0" fontId="6" fillId="5" borderId="1" xfId="18" applyFont="1" applyFill="1" applyBorder="1" applyAlignment="1">
      <alignment horizontal="left" vertical="center" wrapText="1"/>
    </xf>
    <xf numFmtId="0" fontId="5" fillId="4" borderId="0" xfId="16" applyFont="1" applyFill="1"/>
    <xf numFmtId="0" fontId="4" fillId="2" borderId="0" xfId="16" applyFont="1" applyFill="1" applyAlignment="1">
      <alignment horizontal="center" vertical="center"/>
    </xf>
    <xf numFmtId="0" fontId="14" fillId="15" borderId="0" xfId="16" applyFont="1" applyFill="1" applyAlignment="1">
      <alignment vertical="center" wrapText="1"/>
    </xf>
    <xf numFmtId="0" fontId="14" fillId="14" borderId="0" xfId="16" applyFont="1" applyFill="1" applyAlignment="1">
      <alignment vertical="center" wrapText="1"/>
    </xf>
    <xf numFmtId="0" fontId="14" fillId="13" borderId="0" xfId="16" applyFont="1" applyFill="1" applyAlignment="1">
      <alignment vertical="center" wrapText="1"/>
    </xf>
    <xf numFmtId="0" fontId="14" fillId="12" borderId="0" xfId="16" applyFont="1" applyFill="1" applyAlignment="1">
      <alignment vertical="center" wrapText="1"/>
    </xf>
    <xf numFmtId="0" fontId="12" fillId="10" borderId="0" xfId="16" applyFont="1" applyFill="1" applyAlignment="1">
      <alignment horizontal="center" wrapText="1"/>
    </xf>
    <xf numFmtId="0" fontId="1" fillId="3" borderId="0" xfId="16" applyFill="1"/>
    <xf numFmtId="0" fontId="12" fillId="10" borderId="0" xfId="16" applyFont="1" applyFill="1" applyAlignment="1">
      <alignment horizontal="center"/>
    </xf>
    <xf numFmtId="0" fontId="10" fillId="4" borderId="0" xfId="16" applyFont="1" applyFill="1" applyAlignment="1">
      <alignment horizontal="center" vertical="center"/>
    </xf>
    <xf numFmtId="0" fontId="13" fillId="11" borderId="0" xfId="16" applyFont="1" applyFill="1" applyAlignment="1">
      <alignment vertical="center" wrapText="1"/>
    </xf>
    <xf numFmtId="0" fontId="12" fillId="10" borderId="0" xfId="16" applyFont="1" applyFill="1" applyAlignment="1">
      <alignment horizontal="center" wrapText="1"/>
    </xf>
    <xf numFmtId="0" fontId="15" fillId="12" borderId="0" xfId="16" applyFont="1" applyFill="1" applyAlignment="1">
      <alignment horizontal="center" vertical="center" wrapText="1"/>
    </xf>
    <xf numFmtId="0" fontId="11" fillId="12" borderId="0" xfId="16" applyFont="1" applyFill="1" applyAlignment="1">
      <alignment vertical="center" wrapText="1"/>
    </xf>
    <xf numFmtId="0" fontId="15" fillId="13" borderId="0" xfId="16" applyFont="1" applyFill="1" applyAlignment="1">
      <alignment horizontal="center" vertical="center" wrapText="1"/>
    </xf>
    <xf numFmtId="0" fontId="11" fillId="13" borderId="0" xfId="16" applyFont="1" applyFill="1" applyAlignment="1">
      <alignment vertical="center" wrapText="1"/>
    </xf>
    <xf numFmtId="0" fontId="15" fillId="14" borderId="0" xfId="16" applyFont="1" applyFill="1" applyAlignment="1">
      <alignment horizontal="center" vertical="center" wrapText="1"/>
    </xf>
    <xf numFmtId="0" fontId="11" fillId="14" borderId="0" xfId="16" applyFont="1" applyFill="1" applyAlignment="1">
      <alignment vertical="center" wrapText="1"/>
    </xf>
    <xf numFmtId="0" fontId="15" fillId="15" borderId="0" xfId="16" applyFont="1" applyFill="1" applyAlignment="1">
      <alignment horizontal="center" vertical="center" wrapText="1"/>
    </xf>
    <xf numFmtId="0" fontId="11" fillId="15" borderId="0" xfId="16" applyFont="1" applyFill="1" applyAlignment="1">
      <alignment vertical="center" wrapText="1"/>
    </xf>
    <xf numFmtId="0" fontId="15" fillId="16" borderId="0" xfId="16" applyFont="1" applyFill="1" applyAlignment="1">
      <alignment horizontal="center" vertical="center" wrapText="1"/>
    </xf>
    <xf numFmtId="0" fontId="11" fillId="16" borderId="0" xfId="16" applyFont="1" applyFill="1" applyAlignment="1">
      <alignment vertical="center" wrapText="1"/>
    </xf>
    <xf numFmtId="0" fontId="15" fillId="17" borderId="0" xfId="16" applyFont="1" applyFill="1" applyAlignment="1">
      <alignment horizontal="center" vertical="center" wrapText="1"/>
    </xf>
    <xf numFmtId="0" fontId="11" fillId="17" borderId="0" xfId="16" applyFont="1" applyFill="1" applyAlignment="1">
      <alignment vertical="center" wrapText="1"/>
    </xf>
    <xf numFmtId="0" fontId="16" fillId="7" borderId="0" xfId="16" applyFont="1" applyFill="1" applyAlignment="1">
      <alignment horizontal="center" vertical="center"/>
    </xf>
    <xf numFmtId="0" fontId="23" fillId="12" borderId="0" xfId="15" applyFont="1" applyFill="1" applyAlignment="1">
      <alignment horizontal="center" vertical="center" wrapText="1"/>
    </xf>
    <xf numFmtId="0" fontId="23" fillId="13" borderId="0" xfId="15" applyFont="1" applyFill="1" applyAlignment="1">
      <alignment horizontal="center" vertical="center" wrapText="1"/>
    </xf>
    <xf numFmtId="0" fontId="23" fillId="25" borderId="0" xfId="15" applyFont="1" applyFill="1" applyAlignment="1">
      <alignment horizontal="center" vertical="center" wrapText="1"/>
    </xf>
    <xf numFmtId="0" fontId="23" fillId="15" borderId="0" xfId="15" applyFont="1" applyFill="1" applyAlignment="1">
      <alignment horizontal="center" vertical="center" wrapText="1"/>
    </xf>
    <xf numFmtId="0" fontId="23" fillId="16" borderId="0" xfId="15" applyFont="1" applyFill="1" applyAlignment="1">
      <alignment horizontal="center" vertical="center" wrapText="1"/>
    </xf>
    <xf numFmtId="0" fontId="24" fillId="17" borderId="0" xfId="15" applyFont="1" applyFill="1" applyAlignment="1">
      <alignment horizontal="center" vertical="center" wrapText="1"/>
    </xf>
    <xf numFmtId="0" fontId="10" fillId="20" borderId="4" xfId="14" applyFont="1" applyFill="1" applyBorder="1" applyAlignment="1">
      <alignment horizontal="center" vertical="center" wrapText="1"/>
    </xf>
    <xf numFmtId="0" fontId="2" fillId="0" borderId="0" xfId="13" applyBorder="1" applyAlignment="1" applyProtection="1"/>
    <xf numFmtId="0" fontId="25" fillId="26" borderId="0" xfId="15" applyFont="1" applyFill="1" applyAlignment="1">
      <alignment horizontal="center" vertical="center" wrapText="1"/>
    </xf>
    <xf numFmtId="0" fontId="26" fillId="12" borderId="0" xfId="15" applyFont="1" applyFill="1" applyAlignment="1">
      <alignment vertical="top" wrapText="1"/>
    </xf>
    <xf numFmtId="0" fontId="27" fillId="12" borderId="0" xfId="15" applyFont="1" applyFill="1" applyAlignment="1">
      <alignment vertical="top" wrapText="1"/>
    </xf>
    <xf numFmtId="0" fontId="28" fillId="12" borderId="0" xfId="15" applyFont="1" applyFill="1" applyAlignment="1">
      <alignment vertical="top" wrapText="1"/>
    </xf>
    <xf numFmtId="0" fontId="3" fillId="12" borderId="0" xfId="15" applyFill="1" applyAlignment="1">
      <alignment vertical="top" wrapText="1"/>
    </xf>
    <xf numFmtId="0" fontId="26" fillId="13" borderId="0" xfId="15" applyFont="1" applyFill="1" applyAlignment="1">
      <alignment vertical="top" wrapText="1"/>
    </xf>
    <xf numFmtId="0" fontId="27" fillId="13" borderId="0" xfId="15" applyFont="1" applyFill="1" applyAlignment="1">
      <alignment vertical="top" wrapText="1"/>
    </xf>
    <xf numFmtId="0" fontId="28" fillId="13" borderId="0" xfId="15" applyFont="1" applyFill="1" applyAlignment="1">
      <alignment vertical="top" wrapText="1"/>
    </xf>
    <xf numFmtId="0" fontId="26" fillId="25" borderId="0" xfId="15" applyFont="1" applyFill="1" applyAlignment="1">
      <alignment vertical="top" wrapText="1"/>
    </xf>
    <xf numFmtId="0" fontId="27" fillId="25" borderId="0" xfId="15" applyFont="1" applyFill="1" applyAlignment="1">
      <alignment vertical="top" wrapText="1"/>
    </xf>
    <xf numFmtId="0" fontId="28" fillId="25" borderId="0" xfId="15" applyFont="1" applyFill="1" applyAlignment="1">
      <alignment vertical="top" wrapText="1"/>
    </xf>
    <xf numFmtId="0" fontId="26" fillId="15" borderId="0" xfId="15" applyFont="1" applyFill="1" applyAlignment="1">
      <alignment vertical="top" wrapText="1"/>
    </xf>
    <xf numFmtId="0" fontId="27" fillId="15" borderId="0" xfId="15" applyFont="1" applyFill="1" applyAlignment="1">
      <alignment vertical="top" wrapText="1"/>
    </xf>
    <xf numFmtId="0" fontId="28" fillId="15" borderId="0" xfId="15" applyFont="1" applyFill="1" applyAlignment="1">
      <alignment vertical="top" wrapText="1"/>
    </xf>
    <xf numFmtId="0" fontId="26" fillId="16" borderId="0" xfId="15" applyFont="1" applyFill="1" applyAlignment="1">
      <alignment vertical="top" wrapText="1"/>
    </xf>
    <xf numFmtId="0" fontId="27" fillId="16" borderId="0" xfId="15" applyFont="1" applyFill="1" applyAlignment="1">
      <alignment vertical="top" wrapText="1"/>
    </xf>
    <xf numFmtId="0" fontId="28" fillId="16" borderId="0" xfId="15" applyFont="1" applyFill="1" applyAlignment="1">
      <alignment vertical="top" wrapText="1"/>
    </xf>
    <xf numFmtId="0" fontId="26" fillId="17" borderId="0" xfId="15" applyFont="1" applyFill="1" applyAlignment="1">
      <alignment vertical="top" wrapText="1"/>
    </xf>
    <xf numFmtId="0" fontId="27" fillId="17" borderId="0" xfId="15" applyFont="1" applyFill="1" applyAlignment="1">
      <alignment vertical="top" wrapText="1"/>
    </xf>
    <xf numFmtId="0" fontId="28" fillId="17" borderId="0" xfId="15" applyFont="1" applyFill="1" applyAlignment="1">
      <alignment vertical="top" wrapText="1"/>
    </xf>
    <xf numFmtId="0" fontId="14" fillId="16" borderId="0" xfId="16" applyFont="1" applyFill="1" applyAlignment="1">
      <alignment vertical="center" wrapText="1"/>
    </xf>
    <xf numFmtId="0" fontId="14" fillId="17" borderId="0" xfId="16" applyFont="1" applyFill="1" applyAlignment="1">
      <alignment vertical="center" wrapText="1"/>
    </xf>
    <xf numFmtId="0" fontId="17" fillId="18" borderId="3" xfId="16" applyFont="1" applyFill="1" applyBorder="1" applyAlignment="1">
      <alignment horizontal="center" vertical="center" wrapText="1"/>
    </xf>
    <xf numFmtId="0" fontId="10" fillId="19" borderId="0" xfId="18" applyFont="1" applyFill="1" applyAlignment="1">
      <alignment horizontal="center" vertical="center" wrapText="1"/>
    </xf>
    <xf numFmtId="0" fontId="10" fillId="20" borderId="0" xfId="18" applyFont="1" applyFill="1" applyAlignment="1">
      <alignment horizontal="center" vertical="center" wrapText="1"/>
    </xf>
    <xf numFmtId="0" fontId="10" fillId="21" borderId="0" xfId="18" applyFont="1" applyFill="1" applyAlignment="1">
      <alignment horizontal="left" vertical="center" wrapText="1"/>
    </xf>
    <xf numFmtId="0" fontId="18" fillId="5" borderId="2" xfId="18" applyFont="1" applyFill="1" applyBorder="1" applyAlignment="1">
      <alignment horizontal="left" vertical="center" wrapText="1"/>
    </xf>
    <xf numFmtId="0" fontId="18" fillId="6" borderId="1" xfId="18" applyFont="1" applyFill="1" applyBorder="1" applyAlignment="1">
      <alignment horizontal="left" vertical="center" wrapText="1"/>
    </xf>
    <xf numFmtId="0" fontId="10" fillId="20" borderId="0" xfId="18" applyFont="1" applyFill="1" applyAlignment="1">
      <alignment horizontal="left" vertical="center" wrapText="1"/>
    </xf>
    <xf numFmtId="0" fontId="19" fillId="12" borderId="4" xfId="18" applyFont="1" applyFill="1" applyBorder="1" applyAlignment="1">
      <alignment horizontal="center" vertical="center" wrapText="1"/>
    </xf>
    <xf numFmtId="0" fontId="19" fillId="12" borderId="4" xfId="18" applyFont="1" applyFill="1" applyBorder="1" applyAlignment="1">
      <alignment horizontal="left" vertical="center" wrapText="1"/>
    </xf>
    <xf numFmtId="0" fontId="19" fillId="13" borderId="4" xfId="18" applyFont="1" applyFill="1" applyBorder="1" applyAlignment="1">
      <alignment horizontal="center" vertical="center" wrapText="1"/>
    </xf>
    <xf numFmtId="0" fontId="19" fillId="13" borderId="4" xfId="18" applyFont="1" applyFill="1" applyBorder="1" applyAlignment="1">
      <alignment horizontal="left" vertical="center" wrapText="1"/>
    </xf>
    <xf numFmtId="0" fontId="19" fillId="14" borderId="4" xfId="18" applyFont="1" applyFill="1" applyBorder="1" applyAlignment="1">
      <alignment horizontal="center" vertical="center" wrapText="1"/>
    </xf>
    <xf numFmtId="0" fontId="19" fillId="14" borderId="4" xfId="18" applyFont="1" applyFill="1" applyBorder="1" applyAlignment="1">
      <alignment horizontal="left" vertical="center" wrapText="1"/>
    </xf>
    <xf numFmtId="0" fontId="19" fillId="15" borderId="4" xfId="18" applyFont="1" applyFill="1" applyBorder="1" applyAlignment="1">
      <alignment horizontal="center" vertical="center" wrapText="1"/>
    </xf>
    <xf numFmtId="0" fontId="19" fillId="15" borderId="4" xfId="18" applyFont="1" applyFill="1" applyBorder="1" applyAlignment="1">
      <alignment horizontal="left" vertical="center" wrapText="1"/>
    </xf>
    <xf numFmtId="0" fontId="19" fillId="16" borderId="4" xfId="18" applyFont="1" applyFill="1" applyBorder="1" applyAlignment="1">
      <alignment horizontal="center" vertical="center" wrapText="1"/>
    </xf>
    <xf numFmtId="0" fontId="19" fillId="16" borderId="4" xfId="18" applyFont="1" applyFill="1" applyBorder="1" applyAlignment="1">
      <alignment horizontal="left" vertical="center" wrapText="1"/>
    </xf>
    <xf numFmtId="0" fontId="19" fillId="17" borderId="4" xfId="18" applyFont="1" applyFill="1" applyBorder="1" applyAlignment="1">
      <alignment horizontal="center" vertical="center" wrapText="1"/>
    </xf>
    <xf numFmtId="0" fontId="19" fillId="17" borderId="4" xfId="18" applyFont="1" applyFill="1" applyBorder="1" applyAlignment="1">
      <alignment horizontal="left" vertical="center" wrapText="1"/>
    </xf>
    <xf numFmtId="0" fontId="20" fillId="22" borderId="1" xfId="18" applyFont="1" applyFill="1" applyBorder="1" applyAlignment="1">
      <alignment horizontal="center" vertical="center" wrapText="1"/>
    </xf>
    <xf numFmtId="0" fontId="10" fillId="21" borderId="5" xfId="18" applyFont="1" applyFill="1" applyBorder="1" applyAlignment="1">
      <alignment horizontal="center" vertical="center" wrapText="1"/>
    </xf>
    <xf numFmtId="0" fontId="21" fillId="23" borderId="0" xfId="15" applyFont="1" applyFill="1" applyAlignment="1">
      <alignment horizontal="center" vertical="center"/>
    </xf>
    <xf numFmtId="0" fontId="22" fillId="24" borderId="0" xfId="15" applyFont="1" applyFill="1" applyAlignment="1">
      <alignment vertical="center" wrapText="1"/>
    </xf>
  </cellXfs>
  <cellStyles count="22">
    <cellStyle name="Comma [0] 2" xfId="4" xr:uid="{00000000-0005-0000-0000-000009000000}"/>
    <cellStyle name="Comma [0] 3" xfId="5" xr:uid="{00000000-0005-0000-0000-00000A000000}"/>
    <cellStyle name="Comma [0] 4" xfId="6" xr:uid="{00000000-0005-0000-0000-00000B000000}"/>
    <cellStyle name="Comma 1" xfId="1" xr:uid="{00000000-0005-0000-0000-000006000000}"/>
    <cellStyle name="Comma 2" xfId="2" xr:uid="{00000000-0005-0000-0000-000007000000}"/>
    <cellStyle name="Comma 3" xfId="3" xr:uid="{00000000-0005-0000-0000-000008000000}"/>
    <cellStyle name="Currency [0] 4" xfId="10" xr:uid="{00000000-0005-0000-0000-00000F000000}"/>
    <cellStyle name="Currency [0] 5" xfId="11" xr:uid="{00000000-0005-0000-0000-000010000000}"/>
    <cellStyle name="Currency [0] 6" xfId="12" xr:uid="{00000000-0005-0000-0000-000011000000}"/>
    <cellStyle name="Currency 3" xfId="7" xr:uid="{00000000-0005-0000-0000-00000C000000}"/>
    <cellStyle name="Currency 4" xfId="8" xr:uid="{00000000-0005-0000-0000-00000D000000}"/>
    <cellStyle name="Currency 5" xfId="9" xr:uid="{00000000-0005-0000-0000-00000E000000}"/>
    <cellStyle name="Hyperlink 1" xfId="13" xr:uid="{00000000-0005-0000-0000-000012000000}"/>
    <cellStyle name="Normal" xfId="0" builtinId="0"/>
    <cellStyle name="Normal 1" xfId="15" xr:uid="{00000000-0005-0000-0000-000014000000}"/>
    <cellStyle name="Normal 2" xfId="14" xr:uid="{00000000-0005-0000-0000-000013000000}"/>
    <cellStyle name="Normal 5" xfId="16" xr:uid="{00000000-0005-0000-0000-000015000000}"/>
    <cellStyle name="Normal 6" xfId="17" xr:uid="{00000000-0005-0000-0000-000016000000}"/>
    <cellStyle name="Normal 7" xfId="18" xr:uid="{00000000-0005-0000-0000-000017000000}"/>
    <cellStyle name="Percent 6" xfId="19" xr:uid="{00000000-0005-0000-0000-000018000000}"/>
    <cellStyle name="Percent 7" xfId="20" xr:uid="{00000000-0005-0000-0000-000019000000}"/>
    <cellStyle name="Percent 8" xfId="21"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C7D934"/>
      <rgbColor rgb="FFFF00FF"/>
      <rgbColor rgb="FF00FFFF"/>
      <rgbColor rgb="FF800000"/>
      <rgbColor rgb="FF005E66"/>
      <rgbColor rgb="FF073B4C"/>
      <rgbColor rgb="FF808000"/>
      <rgbColor rgb="FFB90065"/>
      <rgbColor rgb="FF007B7E"/>
      <rgbColor rgb="FFE4DFEC"/>
      <rgbColor rgb="FF808080"/>
      <rgbColor rgb="FFE7F3F4"/>
      <rgbColor rgb="FF993366"/>
      <rgbColor rgb="FFFFF4CF"/>
      <rgbColor rgb="FFD9EEF0"/>
      <rgbColor rgb="FF660066"/>
      <rgbColor rgb="FFFF8080"/>
      <rgbColor rgb="FF0563C1"/>
      <rgbColor rgb="FFB8D8D8"/>
      <rgbColor rgb="FF000080"/>
      <rgbColor rgb="FFFF00FF"/>
      <rgbColor rgb="FFE7F4F4"/>
      <rgbColor rgb="FF00FFFF"/>
      <rgbColor rgb="FFC0006F"/>
      <rgbColor rgb="FF800000"/>
      <rgbColor rgb="FF0B7A7D"/>
      <rgbColor rgb="FF0000FF"/>
      <rgbColor rgb="FF00CCFF"/>
      <rgbColor rgb="FFD7ECEE"/>
      <rgbColor rgb="FFE2F0D9"/>
      <rgbColor rgb="FFFFF2CC"/>
      <rgbColor rgb="FFD9EAF7"/>
      <rgbColor rgb="FFFCE4D6"/>
      <rgbColor rgb="FFDDEBF7"/>
      <rgbColor rgb="FFF4CCCC"/>
      <rgbColor rgb="FF3366FF"/>
      <rgbColor rgb="FF33CCCC"/>
      <rgbColor rgb="FFC6DF28"/>
      <rgbColor rgb="FFF2C94C"/>
      <rgbColor rgb="FFFF9900"/>
      <rgbColor rgb="FFFF6600"/>
      <rgbColor rgb="FF467886"/>
      <rgbColor rgb="FFF7FAFA"/>
      <rgbColor rgb="FF003B4D"/>
      <rgbColor rgb="FF0F8B8D"/>
      <rgbColor rgb="FF0B1F33"/>
      <rgbColor rgb="FF5A3A00"/>
      <rgbColor rgb="FF993300"/>
      <rgbColor rgb="FF993366"/>
      <rgbColor rgb="FF1F4E5F"/>
      <rgbColor rgb="FF18344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156240</xdr:colOff>
      <xdr:row>39</xdr:row>
      <xdr:rowOff>93960</xdr:rowOff>
    </xdr:to>
    <xdr:pic>
      <xdr:nvPicPr>
        <xdr:cNvPr id="2" name="/xl/media/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4629320" cy="9752400"/>
        </a:xfrm>
        <a:prstGeom prst="rect">
          <a:avLst/>
        </a:prstGeom>
        <a:noFill/>
        <a:ln w="0">
          <a:noFill/>
        </a:ln>
      </xdr:spPr>
    </xdr:pic>
    <xdr:clientData/>
  </xdr:twoCellAnchor>
</xdr:wsDr>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casaalliance.org/don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0"/>
  <sheetViews>
    <sheetView showGridLines="0" zoomScaleNormal="100" workbookViewId="0"/>
  </sheetViews>
  <sheetFormatPr defaultColWidth="8.6640625" defaultRowHeight="12.75" x14ac:dyDescent="0.35"/>
  <cols>
    <col min="1" max="8" width="11.6640625" customWidth="1"/>
    <col min="9" max="24" width="8" customWidth="1"/>
  </cols>
  <sheetData>
    <row r="1" ht="19.5" customHeight="1" x14ac:dyDescent="0.35"/>
    <row r="2" ht="19.5" customHeight="1" x14ac:dyDescent="0.35"/>
    <row r="3" ht="19.5" customHeight="1" x14ac:dyDescent="0.35"/>
    <row r="4" ht="19.5" customHeight="1" x14ac:dyDescent="0.35"/>
    <row r="5" ht="19.5" customHeight="1" x14ac:dyDescent="0.35"/>
    <row r="6" ht="19.5" customHeight="1" x14ac:dyDescent="0.35"/>
    <row r="7" ht="19.5" customHeight="1" x14ac:dyDescent="0.35"/>
    <row r="8" ht="19.5" customHeight="1" x14ac:dyDescent="0.35"/>
    <row r="9" ht="19.5" customHeight="1" x14ac:dyDescent="0.35"/>
    <row r="10" ht="19.5" customHeight="1" x14ac:dyDescent="0.35"/>
    <row r="11" ht="19.5" customHeight="1" x14ac:dyDescent="0.35"/>
    <row r="12" ht="19.5" customHeight="1" x14ac:dyDescent="0.35"/>
    <row r="13" ht="19.5" customHeight="1" x14ac:dyDescent="0.35"/>
    <row r="14" ht="19.5" customHeight="1" x14ac:dyDescent="0.35"/>
    <row r="15" ht="19.5" customHeight="1" x14ac:dyDescent="0.35"/>
    <row r="16" ht="19.5" customHeight="1" x14ac:dyDescent="0.35"/>
    <row r="17" ht="19.5" customHeight="1" x14ac:dyDescent="0.35"/>
    <row r="18" ht="19.5" customHeight="1" x14ac:dyDescent="0.35"/>
    <row r="19" ht="19.5" customHeight="1" x14ac:dyDescent="0.35"/>
    <row r="20" ht="19.5" customHeight="1" x14ac:dyDescent="0.35"/>
    <row r="21" ht="19.5" customHeight="1" x14ac:dyDescent="0.35"/>
    <row r="22" ht="19.5" customHeight="1" x14ac:dyDescent="0.35"/>
    <row r="23" ht="19.5" customHeight="1" x14ac:dyDescent="0.35"/>
    <row r="24" ht="19.5" customHeight="1" x14ac:dyDescent="0.35"/>
    <row r="25" ht="19.5" customHeight="1" x14ac:dyDescent="0.35"/>
    <row r="26" ht="19.5" customHeight="1" x14ac:dyDescent="0.35"/>
    <row r="27" ht="19.5" customHeight="1" x14ac:dyDescent="0.35"/>
    <row r="28" ht="19.5" customHeight="1" x14ac:dyDescent="0.35"/>
    <row r="29" ht="19.5" customHeight="1" x14ac:dyDescent="0.35"/>
    <row r="30" ht="19.5" customHeight="1" x14ac:dyDescent="0.35"/>
    <row r="31" ht="19.5" customHeight="1" x14ac:dyDescent="0.35"/>
    <row r="32" ht="19.5" customHeight="1" x14ac:dyDescent="0.35"/>
    <row r="33" ht="19.5" customHeight="1" x14ac:dyDescent="0.35"/>
    <row r="34" ht="19.5" customHeight="1" x14ac:dyDescent="0.35"/>
    <row r="35" ht="19.5" customHeight="1" x14ac:dyDescent="0.35"/>
    <row r="36" ht="19.5" customHeight="1" x14ac:dyDescent="0.35"/>
    <row r="37" ht="19.5" customHeight="1" x14ac:dyDescent="0.35"/>
    <row r="38" ht="19.5" customHeight="1" x14ac:dyDescent="0.35"/>
    <row r="39" ht="19.5" customHeight="1" x14ac:dyDescent="0.35"/>
    <row r="40" ht="19.5" customHeight="1" x14ac:dyDescent="0.35"/>
  </sheetData>
  <pageMargins left="0.15" right="0.15" top="0.15" bottom="0.15" header="0" footer="0"/>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showGridLines="0" zoomScaleNormal="100" workbookViewId="0"/>
  </sheetViews>
  <sheetFormatPr defaultColWidth="8.6640625" defaultRowHeight="12.75" x14ac:dyDescent="0.35"/>
  <cols>
    <col min="1" max="1" width="8.1328125" customWidth="1"/>
    <col min="2" max="2" width="29.3984375" customWidth="1"/>
    <col min="3" max="8" width="15" customWidth="1"/>
  </cols>
  <sheetData>
    <row r="1" spans="1:8" x14ac:dyDescent="0.35">
      <c r="A1" s="13" t="s">
        <v>0</v>
      </c>
      <c r="B1" s="13"/>
      <c r="C1" s="13"/>
      <c r="D1" s="13"/>
      <c r="E1" s="13"/>
      <c r="F1" s="13"/>
      <c r="G1" s="13"/>
      <c r="H1" s="13"/>
    </row>
    <row r="2" spans="1:8" x14ac:dyDescent="0.35">
      <c r="A2" s="13"/>
      <c r="B2" s="13"/>
      <c r="C2" s="13"/>
      <c r="D2" s="13"/>
      <c r="E2" s="13"/>
      <c r="F2" s="13"/>
      <c r="G2" s="13"/>
      <c r="H2" s="13"/>
    </row>
    <row r="3" spans="1:8" x14ac:dyDescent="0.35">
      <c r="A3" s="19"/>
      <c r="B3" s="19"/>
      <c r="C3" s="19"/>
      <c r="D3" s="19"/>
      <c r="E3" s="19"/>
      <c r="F3" s="19"/>
      <c r="G3" s="19"/>
      <c r="H3" s="19"/>
    </row>
    <row r="4" spans="1:8" ht="17.649999999999999" x14ac:dyDescent="0.5">
      <c r="A4" s="12" t="s">
        <v>1</v>
      </c>
      <c r="B4" s="12"/>
      <c r="C4" s="12"/>
      <c r="D4" s="12"/>
      <c r="E4" s="12"/>
      <c r="F4" s="12"/>
      <c r="G4" s="12"/>
      <c r="H4" s="12"/>
    </row>
    <row r="5" spans="1:8" ht="25.5" customHeight="1" x14ac:dyDescent="0.35">
      <c r="A5" s="11" t="s">
        <v>2</v>
      </c>
      <c r="B5" s="11" t="s">
        <v>2</v>
      </c>
      <c r="C5" s="11" t="s">
        <v>2</v>
      </c>
      <c r="D5" s="11" t="s">
        <v>2</v>
      </c>
      <c r="E5" s="11" t="s">
        <v>2</v>
      </c>
      <c r="F5" s="11" t="s">
        <v>2</v>
      </c>
      <c r="G5" s="11" t="s">
        <v>2</v>
      </c>
      <c r="H5" s="11" t="s">
        <v>2</v>
      </c>
    </row>
    <row r="6" spans="1:8" ht="25.5" customHeight="1" x14ac:dyDescent="0.35">
      <c r="A6" s="11" t="s">
        <v>2</v>
      </c>
      <c r="B6" s="11" t="s">
        <v>2</v>
      </c>
      <c r="C6" s="11" t="s">
        <v>2</v>
      </c>
      <c r="D6" s="11" t="s">
        <v>2</v>
      </c>
      <c r="E6" s="11" t="s">
        <v>2</v>
      </c>
      <c r="F6" s="11" t="s">
        <v>2</v>
      </c>
      <c r="G6" s="11" t="s">
        <v>2</v>
      </c>
      <c r="H6" s="11" t="s">
        <v>2</v>
      </c>
    </row>
    <row r="7" spans="1:8" ht="25.5" customHeight="1" x14ac:dyDescent="0.35">
      <c r="A7" s="11" t="s">
        <v>2</v>
      </c>
      <c r="B7" s="11" t="s">
        <v>2</v>
      </c>
      <c r="C7" s="11" t="s">
        <v>2</v>
      </c>
      <c r="D7" s="11" t="s">
        <v>2</v>
      </c>
      <c r="E7" s="11" t="s">
        <v>2</v>
      </c>
      <c r="F7" s="11" t="s">
        <v>2</v>
      </c>
      <c r="G7" s="11" t="s">
        <v>2</v>
      </c>
      <c r="H7" s="11" t="s">
        <v>2</v>
      </c>
    </row>
    <row r="8" spans="1:8" ht="25.5" customHeight="1" x14ac:dyDescent="0.35">
      <c r="A8" s="11" t="s">
        <v>2</v>
      </c>
      <c r="B8" s="11" t="s">
        <v>2</v>
      </c>
      <c r="C8" s="11" t="s">
        <v>2</v>
      </c>
      <c r="D8" s="11" t="s">
        <v>2</v>
      </c>
      <c r="E8" s="11" t="s">
        <v>2</v>
      </c>
      <c r="F8" s="11" t="s">
        <v>2</v>
      </c>
      <c r="G8" s="11" t="s">
        <v>2</v>
      </c>
      <c r="H8" s="11" t="s">
        <v>2</v>
      </c>
    </row>
    <row r="9" spans="1:8" ht="25.5" customHeight="1" x14ac:dyDescent="0.35">
      <c r="A9" s="11" t="s">
        <v>2</v>
      </c>
      <c r="B9" s="11" t="s">
        <v>2</v>
      </c>
      <c r="C9" s="11" t="s">
        <v>2</v>
      </c>
      <c r="D9" s="11" t="s">
        <v>2</v>
      </c>
      <c r="E9" s="11" t="s">
        <v>2</v>
      </c>
      <c r="F9" s="11" t="s">
        <v>2</v>
      </c>
      <c r="G9" s="11" t="s">
        <v>2</v>
      </c>
      <c r="H9" s="11" t="s">
        <v>2</v>
      </c>
    </row>
    <row r="10" spans="1:8" ht="24" customHeight="1" x14ac:dyDescent="0.35">
      <c r="A10" s="10" t="s">
        <v>3</v>
      </c>
      <c r="B10" s="10" t="s">
        <v>3</v>
      </c>
      <c r="C10" s="10" t="s">
        <v>3</v>
      </c>
      <c r="D10" s="10" t="s">
        <v>3</v>
      </c>
      <c r="E10" s="10" t="s">
        <v>3</v>
      </c>
      <c r="F10" s="10" t="s">
        <v>3</v>
      </c>
      <c r="G10" s="10" t="s">
        <v>3</v>
      </c>
      <c r="H10" s="10" t="s">
        <v>3</v>
      </c>
    </row>
    <row r="11" spans="1:8" ht="24" customHeight="1" x14ac:dyDescent="0.35">
      <c r="A11" s="10" t="s">
        <v>3</v>
      </c>
      <c r="B11" s="10" t="s">
        <v>3</v>
      </c>
      <c r="C11" s="10" t="s">
        <v>3</v>
      </c>
      <c r="D11" s="10" t="s">
        <v>3</v>
      </c>
      <c r="E11" s="10" t="s">
        <v>3</v>
      </c>
      <c r="F11" s="10" t="s">
        <v>3</v>
      </c>
      <c r="G11" s="10" t="s">
        <v>3</v>
      </c>
      <c r="H11" s="10" t="s">
        <v>3</v>
      </c>
    </row>
    <row r="12" spans="1:8" ht="24" customHeight="1" x14ac:dyDescent="0.35">
      <c r="A12" s="10" t="s">
        <v>3</v>
      </c>
      <c r="B12" s="10" t="s">
        <v>3</v>
      </c>
      <c r="C12" s="10" t="s">
        <v>3</v>
      </c>
      <c r="D12" s="10" t="s">
        <v>3</v>
      </c>
      <c r="E12" s="10" t="s">
        <v>3</v>
      </c>
      <c r="F12" s="10" t="s">
        <v>3</v>
      </c>
      <c r="G12" s="10" t="s">
        <v>3</v>
      </c>
      <c r="H12" s="10" t="s">
        <v>3</v>
      </c>
    </row>
    <row r="13" spans="1:8" ht="24" customHeight="1" x14ac:dyDescent="0.35">
      <c r="A13" s="10" t="s">
        <v>3</v>
      </c>
      <c r="B13" s="10" t="s">
        <v>3</v>
      </c>
      <c r="C13" s="10" t="s">
        <v>3</v>
      </c>
      <c r="D13" s="10" t="s">
        <v>3</v>
      </c>
      <c r="E13" s="10" t="s">
        <v>3</v>
      </c>
      <c r="F13" s="10" t="s">
        <v>3</v>
      </c>
      <c r="G13" s="10" t="s">
        <v>3</v>
      </c>
      <c r="H13" s="10" t="s">
        <v>3</v>
      </c>
    </row>
    <row r="14" spans="1:8" ht="36" customHeight="1" x14ac:dyDescent="0.35">
      <c r="A14" s="19"/>
      <c r="B14" s="19"/>
      <c r="C14" s="19"/>
      <c r="D14" s="19"/>
      <c r="E14" s="19"/>
      <c r="F14" s="19"/>
      <c r="G14" s="19"/>
      <c r="H14" s="19"/>
    </row>
    <row r="15" spans="1:8" ht="36" customHeight="1" x14ac:dyDescent="0.35">
      <c r="A15" s="9">
        <v>500</v>
      </c>
      <c r="B15" s="9"/>
      <c r="C15" s="8">
        <v>6</v>
      </c>
      <c r="D15" s="8"/>
      <c r="E15" s="8"/>
      <c r="F15" s="7">
        <v>2</v>
      </c>
      <c r="G15" s="7"/>
      <c r="H15" s="7"/>
    </row>
    <row r="16" spans="1:8" x14ac:dyDescent="0.35">
      <c r="A16" s="9"/>
      <c r="B16" s="9"/>
      <c r="C16" s="8"/>
      <c r="D16" s="8"/>
      <c r="E16" s="8"/>
      <c r="F16" s="7"/>
      <c r="G16" s="7"/>
      <c r="H16" s="7"/>
    </row>
    <row r="17" spans="1:8" x14ac:dyDescent="0.35">
      <c r="A17" s="9"/>
      <c r="B17" s="9"/>
      <c r="C17" s="8"/>
      <c r="D17" s="8"/>
      <c r="E17" s="8"/>
      <c r="F17" s="7"/>
      <c r="G17" s="7"/>
      <c r="H17" s="7"/>
    </row>
    <row r="18" spans="1:8" ht="13.15" x14ac:dyDescent="0.4">
      <c r="A18" s="6" t="s">
        <v>4</v>
      </c>
      <c r="B18" s="6"/>
      <c r="C18" s="5" t="s">
        <v>5</v>
      </c>
      <c r="D18" s="5"/>
      <c r="E18" s="5"/>
      <c r="F18" s="4" t="s">
        <v>6</v>
      </c>
      <c r="G18" s="4"/>
      <c r="H18" s="4"/>
    </row>
    <row r="19" spans="1:8" ht="34.5" customHeight="1" x14ac:dyDescent="0.35">
      <c r="A19" s="19"/>
      <c r="B19" s="19"/>
      <c r="C19" s="19"/>
      <c r="D19" s="19"/>
      <c r="E19" s="19"/>
      <c r="F19" s="19"/>
      <c r="G19" s="19"/>
      <c r="H19" s="19"/>
    </row>
    <row r="20" spans="1:8" ht="34.5" customHeight="1" x14ac:dyDescent="0.5">
      <c r="A20" s="3" t="s">
        <v>7</v>
      </c>
      <c r="B20" s="3"/>
      <c r="C20" s="3"/>
      <c r="D20" s="3"/>
      <c r="E20" s="3"/>
      <c r="F20" s="3"/>
      <c r="G20" s="3"/>
      <c r="H20" s="3"/>
    </row>
    <row r="21" spans="1:8" ht="34.5" customHeight="1" x14ac:dyDescent="0.4">
      <c r="A21" s="20" t="s">
        <v>8</v>
      </c>
      <c r="B21" s="20" t="s">
        <v>9</v>
      </c>
      <c r="C21" s="2" t="s">
        <v>10</v>
      </c>
      <c r="D21" s="2"/>
      <c r="E21" s="2"/>
      <c r="F21" s="2"/>
      <c r="G21" s="2"/>
      <c r="H21" s="2"/>
    </row>
    <row r="22" spans="1:8" ht="58.5" customHeight="1" x14ac:dyDescent="0.35">
      <c r="A22" s="21" t="str">
        <f>HYPERLINK("#'Complaint Database'!A1","OPEN")</f>
        <v>OPEN</v>
      </c>
      <c r="B22" s="22" t="s">
        <v>11</v>
      </c>
      <c r="C22" s="1" t="s">
        <v>12</v>
      </c>
      <c r="D22" s="1"/>
      <c r="E22" s="1"/>
      <c r="F22" s="1"/>
      <c r="G22" s="1"/>
      <c r="H22" s="1"/>
    </row>
    <row r="23" spans="1:8" ht="58.5" customHeight="1" x14ac:dyDescent="0.35">
      <c r="A23" s="21" t="str">
        <f>HYPERLINK("#'START HERE - READ ME'!A1","OPEN")</f>
        <v>OPEN</v>
      </c>
      <c r="B23" s="22" t="s">
        <v>13</v>
      </c>
      <c r="C23" s="1" t="s">
        <v>14</v>
      </c>
      <c r="D23" s="1"/>
      <c r="E23" s="1"/>
      <c r="F23" s="1"/>
      <c r="G23" s="1"/>
      <c r="H23" s="1"/>
    </row>
    <row r="24" spans="1:8" ht="58.5" customHeight="1" x14ac:dyDescent="0.35"/>
    <row r="25" spans="1:8" x14ac:dyDescent="0.35">
      <c r="A25" s="19"/>
      <c r="B25" s="19"/>
      <c r="C25" s="19"/>
      <c r="D25" s="19"/>
      <c r="E25" s="19"/>
      <c r="F25" s="19"/>
      <c r="G25" s="19"/>
      <c r="H25" s="19"/>
    </row>
    <row r="26" spans="1:8" ht="17.649999999999999" x14ac:dyDescent="0.5">
      <c r="A26" s="3" t="s">
        <v>15</v>
      </c>
      <c r="B26" s="3"/>
      <c r="C26" s="3"/>
      <c r="D26" s="3"/>
      <c r="E26" s="3"/>
      <c r="F26" s="3"/>
      <c r="G26" s="3"/>
      <c r="H26" s="3"/>
    </row>
    <row r="27" spans="1:8" ht="28.5" customHeight="1" x14ac:dyDescent="0.4">
      <c r="A27" s="23" t="s">
        <v>16</v>
      </c>
      <c r="B27" s="23" t="s">
        <v>17</v>
      </c>
      <c r="C27" s="18" t="s">
        <v>18</v>
      </c>
      <c r="D27" s="18"/>
      <c r="E27" s="18"/>
      <c r="F27" s="18" t="s">
        <v>19</v>
      </c>
      <c r="G27" s="18"/>
      <c r="H27" s="18"/>
    </row>
    <row r="28" spans="1:8" ht="84" customHeight="1" x14ac:dyDescent="0.35">
      <c r="A28" s="24">
        <f>COUNTIF('Complaint Database'!$Q$5:$Q$5000,"Lawsuit / Court Case")</f>
        <v>269</v>
      </c>
      <c r="B28" s="25" t="s">
        <v>20</v>
      </c>
      <c r="C28" s="17" t="s">
        <v>21</v>
      </c>
      <c r="D28" s="17"/>
      <c r="E28" s="17"/>
      <c r="F28" s="17" t="s">
        <v>22</v>
      </c>
      <c r="G28" s="17"/>
      <c r="H28" s="17"/>
    </row>
    <row r="29" spans="1:8" ht="84" customHeight="1" x14ac:dyDescent="0.35">
      <c r="A29" s="26">
        <f>COUNTIF('Complaint Database'!$Q$5:$Q$5000,"Homeowner / Property Owner Complaint")</f>
        <v>72</v>
      </c>
      <c r="B29" s="27" t="s">
        <v>23</v>
      </c>
      <c r="C29" s="16" t="s">
        <v>24</v>
      </c>
      <c r="D29" s="16"/>
      <c r="E29" s="16"/>
      <c r="F29" s="16" t="s">
        <v>25</v>
      </c>
      <c r="G29" s="16"/>
      <c r="H29" s="16"/>
    </row>
    <row r="30" spans="1:8" ht="84" customHeight="1" x14ac:dyDescent="0.35">
      <c r="A30" s="28">
        <f>COUNTIF('Complaint Database'!$Q$5:$Q$5000,"Board Member Complaint")</f>
        <v>58</v>
      </c>
      <c r="B30" s="29" t="s">
        <v>26</v>
      </c>
      <c r="C30" s="15" t="s">
        <v>27</v>
      </c>
      <c r="D30" s="15"/>
      <c r="E30" s="15"/>
      <c r="F30" s="15" t="s">
        <v>28</v>
      </c>
      <c r="G30" s="15"/>
      <c r="H30" s="15"/>
    </row>
    <row r="31" spans="1:8" ht="84" customHeight="1" x14ac:dyDescent="0.35">
      <c r="A31" s="30">
        <f>COUNTIF('Complaint Database'!$Q$5:$Q$5000,"Criminal Case / Prosecution")</f>
        <v>48</v>
      </c>
      <c r="B31" s="31" t="s">
        <v>29</v>
      </c>
      <c r="C31" s="14" t="s">
        <v>30</v>
      </c>
      <c r="D31" s="14"/>
      <c r="E31" s="14"/>
      <c r="F31" s="14" t="s">
        <v>31</v>
      </c>
      <c r="G31" s="14"/>
      <c r="H31" s="14"/>
    </row>
    <row r="32" spans="1:8" ht="84" customHeight="1" x14ac:dyDescent="0.35">
      <c r="A32" s="32">
        <f>COUNTIF('Complaint Database'!$Q$5:$Q$5000,"Regulatory Action / Enforcement")</f>
        <v>10</v>
      </c>
      <c r="B32" s="33" t="s">
        <v>32</v>
      </c>
      <c r="C32" s="65" t="s">
        <v>33</v>
      </c>
      <c r="D32" s="65"/>
      <c r="E32" s="65"/>
      <c r="F32" s="65" t="s">
        <v>34</v>
      </c>
      <c r="G32" s="65"/>
      <c r="H32" s="65"/>
    </row>
    <row r="33" spans="1:8" ht="84" customHeight="1" x14ac:dyDescent="0.35">
      <c r="A33" s="34">
        <f>COUNTIF('Complaint Database'!$Q$5:$Q$5000,"Industry Practice / Financial Mechanism")</f>
        <v>43</v>
      </c>
      <c r="B33" s="35" t="s">
        <v>35</v>
      </c>
      <c r="C33" s="66" t="s">
        <v>36</v>
      </c>
      <c r="D33" s="66"/>
      <c r="E33" s="66"/>
      <c r="F33" s="66" t="s">
        <v>37</v>
      </c>
      <c r="G33" s="66"/>
      <c r="H33" s="66"/>
    </row>
    <row r="34" spans="1:8" x14ac:dyDescent="0.35">
      <c r="A34" s="19"/>
      <c r="B34" s="19"/>
      <c r="C34" s="19"/>
      <c r="D34" s="19"/>
      <c r="E34" s="19"/>
      <c r="F34" s="19"/>
      <c r="G34" s="19"/>
      <c r="H34" s="19"/>
    </row>
    <row r="35" spans="1:8" ht="15" customHeight="1" x14ac:dyDescent="0.5">
      <c r="A35" s="12" t="s">
        <v>38</v>
      </c>
      <c r="B35" s="12"/>
      <c r="C35" s="12"/>
      <c r="D35" s="12"/>
      <c r="E35" s="12"/>
      <c r="F35" s="12"/>
      <c r="G35" s="12"/>
      <c r="H35" s="12"/>
    </row>
    <row r="36" spans="1:8" ht="46.5" customHeight="1" x14ac:dyDescent="0.35">
      <c r="A36" s="36" t="s">
        <v>39</v>
      </c>
      <c r="B36" s="22" t="s">
        <v>40</v>
      </c>
      <c r="C36" s="1" t="s">
        <v>41</v>
      </c>
      <c r="D36" s="1"/>
      <c r="E36" s="1"/>
      <c r="F36" s="1"/>
      <c r="G36" s="1"/>
      <c r="H36" s="1"/>
    </row>
    <row r="37" spans="1:8" ht="46.5" customHeight="1" x14ac:dyDescent="0.35">
      <c r="A37" s="36" t="s">
        <v>42</v>
      </c>
      <c r="B37" s="22" t="s">
        <v>43</v>
      </c>
      <c r="C37" s="1" t="s">
        <v>44</v>
      </c>
      <c r="D37" s="1"/>
      <c r="E37" s="1"/>
      <c r="F37" s="1"/>
      <c r="G37" s="1"/>
      <c r="H37" s="1"/>
    </row>
    <row r="38" spans="1:8" ht="46.5" customHeight="1" x14ac:dyDescent="0.35">
      <c r="A38" s="36" t="s">
        <v>45</v>
      </c>
      <c r="B38" s="22" t="s">
        <v>46</v>
      </c>
      <c r="C38" s="1" t="s">
        <v>47</v>
      </c>
      <c r="D38" s="1"/>
      <c r="E38" s="1"/>
      <c r="F38" s="1"/>
      <c r="G38" s="1"/>
      <c r="H38" s="1"/>
    </row>
    <row r="39" spans="1:8" ht="46.5" customHeight="1" x14ac:dyDescent="0.35">
      <c r="A39" s="36" t="s">
        <v>48</v>
      </c>
      <c r="B39" s="22" t="s">
        <v>49</v>
      </c>
      <c r="C39" s="1" t="s">
        <v>50</v>
      </c>
      <c r="D39" s="1"/>
      <c r="E39" s="1"/>
      <c r="F39" s="1"/>
      <c r="G39" s="1"/>
      <c r="H39" s="1"/>
    </row>
    <row r="40" spans="1:8" ht="46.5" customHeight="1" x14ac:dyDescent="0.35">
      <c r="A40" s="36" t="s">
        <v>51</v>
      </c>
      <c r="B40" s="22" t="s">
        <v>52</v>
      </c>
      <c r="C40" s="1" t="s">
        <v>53</v>
      </c>
      <c r="D40" s="1"/>
      <c r="E40" s="1"/>
      <c r="F40" s="1"/>
      <c r="G40" s="1"/>
      <c r="H40" s="1"/>
    </row>
    <row r="41" spans="1:8" ht="46.5" customHeight="1" x14ac:dyDescent="0.35">
      <c r="A41" s="36" t="s">
        <v>54</v>
      </c>
      <c r="B41" s="22" t="s">
        <v>55</v>
      </c>
      <c r="C41" s="1" t="s">
        <v>56</v>
      </c>
      <c r="D41" s="1"/>
      <c r="E41" s="1"/>
      <c r="F41" s="1"/>
      <c r="G41" s="1"/>
      <c r="H41" s="1"/>
    </row>
    <row r="42" spans="1:8" ht="46.5" customHeight="1" x14ac:dyDescent="0.35">
      <c r="A42" s="36" t="s">
        <v>57</v>
      </c>
      <c r="B42" s="22" t="s">
        <v>58</v>
      </c>
      <c r="C42" s="1" t="s">
        <v>59</v>
      </c>
      <c r="D42" s="1"/>
      <c r="E42" s="1"/>
      <c r="F42" s="1"/>
      <c r="G42" s="1"/>
      <c r="H42" s="1"/>
    </row>
    <row r="43" spans="1:8" x14ac:dyDescent="0.35">
      <c r="A43" s="19"/>
      <c r="B43" s="19"/>
      <c r="C43" s="19"/>
      <c r="D43" s="19"/>
      <c r="E43" s="19"/>
      <c r="F43" s="19"/>
      <c r="G43" s="19"/>
      <c r="H43" s="19"/>
    </row>
    <row r="44" spans="1:8" ht="24" customHeight="1" x14ac:dyDescent="0.35">
      <c r="A44" s="67" t="s">
        <v>60</v>
      </c>
      <c r="B44" s="67"/>
      <c r="C44" s="67"/>
      <c r="D44" s="67"/>
      <c r="E44" s="67"/>
      <c r="F44" s="67"/>
      <c r="G44" s="67"/>
      <c r="H44" s="67"/>
    </row>
    <row r="45" spans="1:8" ht="24" customHeight="1" x14ac:dyDescent="0.35">
      <c r="A45" s="67"/>
      <c r="B45" s="67"/>
      <c r="C45" s="67"/>
      <c r="D45" s="67"/>
      <c r="E45" s="67"/>
      <c r="F45" s="67"/>
      <c r="G45" s="67"/>
      <c r="H45" s="67"/>
    </row>
    <row r="46" spans="1:8" ht="24" customHeight="1" x14ac:dyDescent="0.35">
      <c r="A46" s="67"/>
      <c r="B46" s="67"/>
      <c r="C46" s="67"/>
      <c r="D46" s="67"/>
      <c r="E46" s="67"/>
      <c r="F46" s="67"/>
      <c r="G46" s="67"/>
      <c r="H46" s="67"/>
    </row>
    <row r="47" spans="1:8" ht="24" customHeight="1" x14ac:dyDescent="0.35">
      <c r="A47" s="67"/>
      <c r="B47" s="67"/>
      <c r="C47" s="67"/>
      <c r="D47" s="67"/>
      <c r="E47" s="67"/>
      <c r="F47" s="67"/>
      <c r="G47" s="67"/>
      <c r="H47" s="67"/>
    </row>
    <row r="48" spans="1:8" ht="24" customHeight="1" x14ac:dyDescent="0.35">
      <c r="A48" s="67"/>
      <c r="B48" s="67"/>
      <c r="C48" s="67"/>
      <c r="D48" s="67"/>
      <c r="E48" s="67"/>
      <c r="F48" s="67"/>
      <c r="G48" s="67"/>
      <c r="H48" s="67"/>
    </row>
    <row r="49" spans="1:8" x14ac:dyDescent="0.35">
      <c r="A49" s="19"/>
      <c r="B49" s="19"/>
      <c r="C49" s="19"/>
      <c r="D49" s="19"/>
      <c r="E49" s="19"/>
      <c r="F49" s="19"/>
      <c r="G49" s="19"/>
      <c r="H49" s="19"/>
    </row>
    <row r="50" spans="1:8" x14ac:dyDescent="0.35">
      <c r="A50" s="19"/>
      <c r="B50" s="19"/>
      <c r="C50" s="19"/>
      <c r="D50" s="19"/>
      <c r="E50" s="19"/>
      <c r="F50" s="19"/>
      <c r="G50" s="19"/>
      <c r="H50" s="19"/>
    </row>
    <row r="51" spans="1:8" x14ac:dyDescent="0.35">
      <c r="A51" s="19"/>
      <c r="B51" s="19"/>
      <c r="C51" s="19"/>
      <c r="D51" s="19"/>
      <c r="E51" s="19"/>
      <c r="F51" s="19"/>
      <c r="G51" s="19"/>
      <c r="H51" s="19"/>
    </row>
    <row r="52" spans="1:8" x14ac:dyDescent="0.35">
      <c r="A52" s="19"/>
      <c r="B52" s="19"/>
      <c r="C52" s="19"/>
      <c r="D52" s="19"/>
      <c r="E52" s="19"/>
      <c r="F52" s="19"/>
      <c r="G52" s="19"/>
      <c r="H52" s="19"/>
    </row>
    <row r="53" spans="1:8" x14ac:dyDescent="0.35">
      <c r="A53" s="19"/>
      <c r="B53" s="19"/>
      <c r="C53" s="19"/>
      <c r="D53" s="19"/>
      <c r="E53" s="19"/>
      <c r="F53" s="19"/>
      <c r="G53" s="19"/>
      <c r="H53" s="19"/>
    </row>
    <row r="54" spans="1:8" x14ac:dyDescent="0.35">
      <c r="A54" s="19"/>
      <c r="B54" s="19"/>
      <c r="C54" s="19"/>
      <c r="D54" s="19"/>
      <c r="E54" s="19"/>
      <c r="F54" s="19"/>
      <c r="G54" s="19"/>
      <c r="H54" s="19"/>
    </row>
    <row r="55" spans="1:8" x14ac:dyDescent="0.35">
      <c r="A55" s="19"/>
      <c r="B55" s="19"/>
      <c r="C55" s="19"/>
      <c r="D55" s="19"/>
      <c r="E55" s="19"/>
      <c r="F55" s="19"/>
      <c r="G55" s="19"/>
      <c r="H55" s="19"/>
    </row>
    <row r="56" spans="1:8" x14ac:dyDescent="0.35">
      <c r="A56" s="19"/>
      <c r="B56" s="19"/>
      <c r="C56" s="19"/>
      <c r="D56" s="19"/>
      <c r="E56" s="19"/>
      <c r="F56" s="19"/>
      <c r="G56" s="19"/>
      <c r="H56" s="19"/>
    </row>
    <row r="57" spans="1:8" x14ac:dyDescent="0.35">
      <c r="A57" s="19"/>
      <c r="B57" s="19"/>
      <c r="C57" s="19"/>
      <c r="D57" s="19"/>
      <c r="E57" s="19"/>
      <c r="F57" s="19"/>
      <c r="G57" s="19"/>
      <c r="H57" s="19"/>
    </row>
    <row r="58" spans="1:8" x14ac:dyDescent="0.35">
      <c r="A58" s="19"/>
      <c r="B58" s="19"/>
      <c r="C58" s="19"/>
      <c r="D58" s="19"/>
      <c r="E58" s="19"/>
      <c r="F58" s="19"/>
      <c r="G58" s="19"/>
      <c r="H58" s="19"/>
    </row>
    <row r="59" spans="1:8" x14ac:dyDescent="0.35">
      <c r="A59" s="19"/>
      <c r="B59" s="19"/>
      <c r="C59" s="19"/>
      <c r="D59" s="19"/>
      <c r="E59" s="19"/>
      <c r="F59" s="19"/>
      <c r="G59" s="19"/>
      <c r="H59" s="19"/>
    </row>
    <row r="60" spans="1:8" x14ac:dyDescent="0.35">
      <c r="A60" s="19"/>
      <c r="B60" s="19"/>
      <c r="C60" s="19"/>
      <c r="D60" s="19"/>
      <c r="E60" s="19"/>
      <c r="F60" s="19"/>
      <c r="G60" s="19"/>
      <c r="H60" s="19"/>
    </row>
  </sheetData>
  <mergeCells count="38">
    <mergeCell ref="C40:H40"/>
    <mergeCell ref="C41:H41"/>
    <mergeCell ref="C42:H42"/>
    <mergeCell ref="A44:H48"/>
    <mergeCell ref="A35:H35"/>
    <mergeCell ref="C36:H36"/>
    <mergeCell ref="C37:H37"/>
    <mergeCell ref="C38:H38"/>
    <mergeCell ref="C39:H39"/>
    <mergeCell ref="C31:E31"/>
    <mergeCell ref="F31:H31"/>
    <mergeCell ref="C32:E32"/>
    <mergeCell ref="F32:H32"/>
    <mergeCell ref="C33:E33"/>
    <mergeCell ref="F33:H33"/>
    <mergeCell ref="C28:E28"/>
    <mergeCell ref="F28:H28"/>
    <mergeCell ref="C29:E29"/>
    <mergeCell ref="F29:H29"/>
    <mergeCell ref="C30:E30"/>
    <mergeCell ref="F30:H30"/>
    <mergeCell ref="C22:H22"/>
    <mergeCell ref="C23:H23"/>
    <mergeCell ref="A26:H26"/>
    <mergeCell ref="C27:E27"/>
    <mergeCell ref="F27:H27"/>
    <mergeCell ref="A18:B18"/>
    <mergeCell ref="C18:E18"/>
    <mergeCell ref="F18:H18"/>
    <mergeCell ref="A20:H20"/>
    <mergeCell ref="C21:H21"/>
    <mergeCell ref="A1:H2"/>
    <mergeCell ref="A4:H4"/>
    <mergeCell ref="A5:H9"/>
    <mergeCell ref="A10:H13"/>
    <mergeCell ref="A15:B17"/>
    <mergeCell ref="C15:E17"/>
    <mergeCell ref="F15:H17"/>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showGridLines="0" zoomScaleNormal="100" workbookViewId="0"/>
  </sheetViews>
  <sheetFormatPr defaultColWidth="8.6640625" defaultRowHeight="12.75" x14ac:dyDescent="0.35"/>
  <cols>
    <col min="1" max="1" width="15" customWidth="1"/>
    <col min="2" max="6" width="18" customWidth="1"/>
    <col min="7" max="8" width="15" customWidth="1"/>
  </cols>
  <sheetData>
    <row r="1" spans="1:8" ht="34.049999999999997" customHeight="1" x14ac:dyDescent="0.35">
      <c r="A1" s="68" t="s">
        <v>61</v>
      </c>
      <c r="B1" s="68" t="s">
        <v>61</v>
      </c>
      <c r="C1" s="68" t="s">
        <v>61</v>
      </c>
      <c r="D1" s="68" t="s">
        <v>61</v>
      </c>
      <c r="E1" s="68" t="s">
        <v>61</v>
      </c>
      <c r="F1" s="68" t="s">
        <v>61</v>
      </c>
      <c r="G1" s="68" t="s">
        <v>61</v>
      </c>
      <c r="H1" s="68" t="s">
        <v>61</v>
      </c>
    </row>
    <row r="2" spans="1:8" ht="24" customHeight="1" x14ac:dyDescent="0.35">
      <c r="A2" s="69" t="s">
        <v>62</v>
      </c>
      <c r="B2" s="69" t="s">
        <v>62</v>
      </c>
      <c r="C2" s="69" t="s">
        <v>62</v>
      </c>
      <c r="D2" s="69" t="s">
        <v>62</v>
      </c>
      <c r="E2" s="69" t="s">
        <v>62</v>
      </c>
      <c r="F2" s="69" t="s">
        <v>62</v>
      </c>
      <c r="G2" s="69" t="s">
        <v>62</v>
      </c>
      <c r="H2" s="69" t="s">
        <v>62</v>
      </c>
    </row>
    <row r="3" spans="1:8" ht="18" customHeight="1" x14ac:dyDescent="0.35"/>
    <row r="4" spans="1:8" ht="24" customHeight="1" x14ac:dyDescent="0.35">
      <c r="A4" s="70" t="s">
        <v>63</v>
      </c>
      <c r="B4" s="70" t="s">
        <v>63</v>
      </c>
      <c r="C4" s="70" t="s">
        <v>63</v>
      </c>
      <c r="D4" s="70" t="s">
        <v>63</v>
      </c>
      <c r="E4" s="70" t="s">
        <v>63</v>
      </c>
      <c r="F4" s="70" t="s">
        <v>63</v>
      </c>
      <c r="G4" s="70" t="s">
        <v>63</v>
      </c>
      <c r="H4" s="70" t="s">
        <v>63</v>
      </c>
    </row>
    <row r="5" spans="1:8" ht="22.05" customHeight="1" x14ac:dyDescent="0.35">
      <c r="A5" s="71" t="s">
        <v>64</v>
      </c>
      <c r="B5" s="71" t="s">
        <v>64</v>
      </c>
      <c r="C5" s="71" t="s">
        <v>64</v>
      </c>
      <c r="D5" s="71" t="s">
        <v>64</v>
      </c>
      <c r="E5" s="71" t="s">
        <v>64</v>
      </c>
      <c r="F5" s="71" t="s">
        <v>64</v>
      </c>
      <c r="G5" s="71" t="s">
        <v>64</v>
      </c>
      <c r="H5" s="71" t="s">
        <v>64</v>
      </c>
    </row>
    <row r="6" spans="1:8" ht="22.05" customHeight="1" x14ac:dyDescent="0.35">
      <c r="A6" s="71" t="s">
        <v>64</v>
      </c>
      <c r="B6" s="71" t="s">
        <v>64</v>
      </c>
      <c r="C6" s="71" t="s">
        <v>64</v>
      </c>
      <c r="D6" s="71" t="s">
        <v>64</v>
      </c>
      <c r="E6" s="71" t="s">
        <v>64</v>
      </c>
      <c r="F6" s="71" t="s">
        <v>64</v>
      </c>
      <c r="G6" s="71" t="s">
        <v>64</v>
      </c>
      <c r="H6" s="71" t="s">
        <v>64</v>
      </c>
    </row>
    <row r="7" spans="1:8" ht="22.05" customHeight="1" x14ac:dyDescent="0.35">
      <c r="A7" s="71" t="s">
        <v>64</v>
      </c>
      <c r="B7" s="71" t="s">
        <v>64</v>
      </c>
      <c r="C7" s="71" t="s">
        <v>64</v>
      </c>
      <c r="D7" s="71" t="s">
        <v>64</v>
      </c>
      <c r="E7" s="71" t="s">
        <v>64</v>
      </c>
      <c r="F7" s="71" t="s">
        <v>64</v>
      </c>
      <c r="G7" s="71" t="s">
        <v>64</v>
      </c>
      <c r="H7" s="71" t="s">
        <v>64</v>
      </c>
    </row>
    <row r="8" spans="1:8" ht="18" customHeight="1" x14ac:dyDescent="0.35"/>
    <row r="9" spans="1:8" ht="24" customHeight="1" x14ac:dyDescent="0.35">
      <c r="A9" s="70" t="s">
        <v>65</v>
      </c>
      <c r="B9" s="70" t="s">
        <v>65</v>
      </c>
      <c r="C9" s="70" t="s">
        <v>65</v>
      </c>
      <c r="D9" s="70" t="s">
        <v>65</v>
      </c>
      <c r="E9" s="70" t="s">
        <v>65</v>
      </c>
      <c r="F9" s="70" t="s">
        <v>65</v>
      </c>
      <c r="G9" s="70" t="s">
        <v>65</v>
      </c>
      <c r="H9" s="70" t="s">
        <v>65</v>
      </c>
    </row>
    <row r="10" spans="1:8" ht="22.05" customHeight="1" x14ac:dyDescent="0.35">
      <c r="A10" s="71" t="s">
        <v>66</v>
      </c>
      <c r="B10" s="71" t="s">
        <v>66</v>
      </c>
      <c r="C10" s="71" t="s">
        <v>66</v>
      </c>
      <c r="D10" s="71" t="s">
        <v>66</v>
      </c>
      <c r="E10" s="71" t="s">
        <v>66</v>
      </c>
      <c r="F10" s="71" t="s">
        <v>66</v>
      </c>
      <c r="G10" s="71" t="s">
        <v>66</v>
      </c>
      <c r="H10" s="71" t="s">
        <v>66</v>
      </c>
    </row>
    <row r="11" spans="1:8" ht="22.05" customHeight="1" x14ac:dyDescent="0.35">
      <c r="A11" s="71" t="s">
        <v>66</v>
      </c>
      <c r="B11" s="71" t="s">
        <v>66</v>
      </c>
      <c r="C11" s="71" t="s">
        <v>66</v>
      </c>
      <c r="D11" s="71" t="s">
        <v>66</v>
      </c>
      <c r="E11" s="71" t="s">
        <v>66</v>
      </c>
      <c r="F11" s="71" t="s">
        <v>66</v>
      </c>
      <c r="G11" s="71" t="s">
        <v>66</v>
      </c>
      <c r="H11" s="71" t="s">
        <v>66</v>
      </c>
    </row>
    <row r="12" spans="1:8" ht="22.05" customHeight="1" x14ac:dyDescent="0.35">
      <c r="A12" s="71" t="s">
        <v>66</v>
      </c>
      <c r="B12" s="71" t="s">
        <v>66</v>
      </c>
      <c r="C12" s="71" t="s">
        <v>66</v>
      </c>
      <c r="D12" s="71" t="s">
        <v>66</v>
      </c>
      <c r="E12" s="71" t="s">
        <v>66</v>
      </c>
      <c r="F12" s="71" t="s">
        <v>66</v>
      </c>
      <c r="G12" s="71" t="s">
        <v>66</v>
      </c>
      <c r="H12" s="71" t="s">
        <v>66</v>
      </c>
    </row>
    <row r="13" spans="1:8" ht="18" customHeight="1" x14ac:dyDescent="0.35"/>
    <row r="14" spans="1:8" ht="24" customHeight="1" x14ac:dyDescent="0.35">
      <c r="A14" s="70" t="s">
        <v>67</v>
      </c>
      <c r="B14" s="70" t="s">
        <v>67</v>
      </c>
      <c r="C14" s="70" t="s">
        <v>67</v>
      </c>
      <c r="D14" s="70" t="s">
        <v>67</v>
      </c>
      <c r="E14" s="70" t="s">
        <v>67</v>
      </c>
      <c r="F14" s="70" t="s">
        <v>67</v>
      </c>
      <c r="G14" s="70" t="s">
        <v>67</v>
      </c>
      <c r="H14" s="70" t="s">
        <v>67</v>
      </c>
    </row>
    <row r="15" spans="1:8" ht="22.05" customHeight="1" x14ac:dyDescent="0.35">
      <c r="A15" s="72" t="s">
        <v>68</v>
      </c>
      <c r="B15" s="72" t="s">
        <v>68</v>
      </c>
      <c r="C15" s="72" t="s">
        <v>68</v>
      </c>
      <c r="D15" s="72" t="s">
        <v>68</v>
      </c>
      <c r="E15" s="72" t="s">
        <v>68</v>
      </c>
      <c r="F15" s="72" t="s">
        <v>68</v>
      </c>
      <c r="G15" s="72" t="s">
        <v>68</v>
      </c>
      <c r="H15" s="72" t="s">
        <v>68</v>
      </c>
    </row>
    <row r="16" spans="1:8" ht="22.05" customHeight="1" x14ac:dyDescent="0.35">
      <c r="A16" s="72" t="s">
        <v>68</v>
      </c>
      <c r="B16" s="72" t="s">
        <v>68</v>
      </c>
      <c r="C16" s="72" t="s">
        <v>68</v>
      </c>
      <c r="D16" s="72" t="s">
        <v>68</v>
      </c>
      <c r="E16" s="72" t="s">
        <v>68</v>
      </c>
      <c r="F16" s="72" t="s">
        <v>68</v>
      </c>
      <c r="G16" s="72" t="s">
        <v>68</v>
      </c>
      <c r="H16" s="72" t="s">
        <v>68</v>
      </c>
    </row>
    <row r="17" spans="1:8" ht="22.05" customHeight="1" x14ac:dyDescent="0.35">
      <c r="A17" s="72" t="s">
        <v>68</v>
      </c>
      <c r="B17" s="72" t="s">
        <v>68</v>
      </c>
      <c r="C17" s="72" t="s">
        <v>68</v>
      </c>
      <c r="D17" s="72" t="s">
        <v>68</v>
      </c>
      <c r="E17" s="72" t="s">
        <v>68</v>
      </c>
      <c r="F17" s="72" t="s">
        <v>68</v>
      </c>
      <c r="G17" s="72" t="s">
        <v>68</v>
      </c>
      <c r="H17" s="72" t="s">
        <v>68</v>
      </c>
    </row>
    <row r="18" spans="1:8" ht="18" customHeight="1" x14ac:dyDescent="0.35"/>
    <row r="19" spans="1:8" ht="24" customHeight="1" x14ac:dyDescent="0.35">
      <c r="A19" s="70" t="s">
        <v>69</v>
      </c>
      <c r="B19" s="70" t="s">
        <v>69</v>
      </c>
      <c r="C19" s="70" t="s">
        <v>69</v>
      </c>
      <c r="D19" s="70" t="s">
        <v>69</v>
      </c>
      <c r="E19" s="70" t="s">
        <v>69</v>
      </c>
      <c r="F19" s="70" t="s">
        <v>69</v>
      </c>
      <c r="G19" s="70" t="s">
        <v>69</v>
      </c>
      <c r="H19" s="70" t="s">
        <v>69</v>
      </c>
    </row>
    <row r="20" spans="1:8" ht="24" customHeight="1" x14ac:dyDescent="0.35">
      <c r="A20" s="72" t="s">
        <v>70</v>
      </c>
      <c r="B20" s="72" t="s">
        <v>70</v>
      </c>
      <c r="C20" s="72" t="s">
        <v>70</v>
      </c>
      <c r="D20" s="72" t="s">
        <v>70</v>
      </c>
      <c r="E20" s="72" t="s">
        <v>70</v>
      </c>
      <c r="F20" s="72" t="s">
        <v>70</v>
      </c>
      <c r="G20" s="72" t="s">
        <v>70</v>
      </c>
      <c r="H20" s="72" t="s">
        <v>70</v>
      </c>
    </row>
    <row r="21" spans="1:8" ht="24" customHeight="1" x14ac:dyDescent="0.35">
      <c r="A21" s="72" t="s">
        <v>70</v>
      </c>
      <c r="B21" s="72" t="s">
        <v>70</v>
      </c>
      <c r="C21" s="72" t="s">
        <v>70</v>
      </c>
      <c r="D21" s="72" t="s">
        <v>70</v>
      </c>
      <c r="E21" s="72" t="s">
        <v>70</v>
      </c>
      <c r="F21" s="72" t="s">
        <v>70</v>
      </c>
      <c r="G21" s="72" t="s">
        <v>70</v>
      </c>
      <c r="H21" s="72" t="s">
        <v>70</v>
      </c>
    </row>
    <row r="22" spans="1:8" ht="24" customHeight="1" x14ac:dyDescent="0.35">
      <c r="A22" s="72" t="s">
        <v>70</v>
      </c>
      <c r="B22" s="72" t="s">
        <v>70</v>
      </c>
      <c r="C22" s="72" t="s">
        <v>70</v>
      </c>
      <c r="D22" s="72" t="s">
        <v>70</v>
      </c>
      <c r="E22" s="72" t="s">
        <v>70</v>
      </c>
      <c r="F22" s="72" t="s">
        <v>70</v>
      </c>
      <c r="G22" s="72" t="s">
        <v>70</v>
      </c>
      <c r="H22" s="72" t="s">
        <v>70</v>
      </c>
    </row>
    <row r="23" spans="1:8" ht="24" customHeight="1" x14ac:dyDescent="0.35">
      <c r="A23" s="72" t="s">
        <v>70</v>
      </c>
      <c r="B23" s="72" t="s">
        <v>70</v>
      </c>
      <c r="C23" s="72" t="s">
        <v>70</v>
      </c>
      <c r="D23" s="72" t="s">
        <v>70</v>
      </c>
      <c r="E23" s="72" t="s">
        <v>70</v>
      </c>
      <c r="F23" s="72" t="s">
        <v>70</v>
      </c>
      <c r="G23" s="72" t="s">
        <v>70</v>
      </c>
      <c r="H23" s="72" t="s">
        <v>70</v>
      </c>
    </row>
    <row r="24" spans="1:8" ht="18" customHeight="1" x14ac:dyDescent="0.35"/>
    <row r="25" spans="1:8" ht="24" customHeight="1" x14ac:dyDescent="0.35">
      <c r="A25" s="70" t="s">
        <v>71</v>
      </c>
      <c r="B25" s="70" t="s">
        <v>71</v>
      </c>
      <c r="C25" s="70" t="s">
        <v>71</v>
      </c>
      <c r="D25" s="70" t="s">
        <v>71</v>
      </c>
      <c r="E25" s="70" t="s">
        <v>71</v>
      </c>
      <c r="F25" s="70" t="s">
        <v>71</v>
      </c>
      <c r="G25" s="70" t="s">
        <v>71</v>
      </c>
      <c r="H25" s="70" t="s">
        <v>71</v>
      </c>
    </row>
    <row r="26" spans="1:8" ht="24" customHeight="1" x14ac:dyDescent="0.35">
      <c r="A26" s="71" t="s">
        <v>72</v>
      </c>
      <c r="B26" s="71" t="s">
        <v>72</v>
      </c>
      <c r="C26" s="71" t="s">
        <v>72</v>
      </c>
      <c r="D26" s="71" t="s">
        <v>72</v>
      </c>
      <c r="E26" s="71" t="s">
        <v>72</v>
      </c>
      <c r="F26" s="71" t="s">
        <v>72</v>
      </c>
      <c r="G26" s="71" t="s">
        <v>72</v>
      </c>
      <c r="H26" s="71" t="s">
        <v>72</v>
      </c>
    </row>
    <row r="27" spans="1:8" ht="24" customHeight="1" x14ac:dyDescent="0.35">
      <c r="A27" s="71" t="s">
        <v>72</v>
      </c>
      <c r="B27" s="71" t="s">
        <v>72</v>
      </c>
      <c r="C27" s="71" t="s">
        <v>72</v>
      </c>
      <c r="D27" s="71" t="s">
        <v>72</v>
      </c>
      <c r="E27" s="71" t="s">
        <v>72</v>
      </c>
      <c r="F27" s="71" t="s">
        <v>72</v>
      </c>
      <c r="G27" s="71" t="s">
        <v>72</v>
      </c>
      <c r="H27" s="71" t="s">
        <v>72</v>
      </c>
    </row>
    <row r="28" spans="1:8" ht="24" customHeight="1" x14ac:dyDescent="0.35">
      <c r="A28" s="71" t="s">
        <v>72</v>
      </c>
      <c r="B28" s="71" t="s">
        <v>72</v>
      </c>
      <c r="C28" s="71" t="s">
        <v>72</v>
      </c>
      <c r="D28" s="71" t="s">
        <v>72</v>
      </c>
      <c r="E28" s="71" t="s">
        <v>72</v>
      </c>
      <c r="F28" s="71" t="s">
        <v>72</v>
      </c>
      <c r="G28" s="71" t="s">
        <v>72</v>
      </c>
      <c r="H28" s="71" t="s">
        <v>72</v>
      </c>
    </row>
    <row r="29" spans="1:8" ht="24" customHeight="1" x14ac:dyDescent="0.35">
      <c r="A29" s="71" t="s">
        <v>72</v>
      </c>
      <c r="B29" s="71" t="s">
        <v>72</v>
      </c>
      <c r="C29" s="71" t="s">
        <v>72</v>
      </c>
      <c r="D29" s="71" t="s">
        <v>72</v>
      </c>
      <c r="E29" s="71" t="s">
        <v>72</v>
      </c>
      <c r="F29" s="71" t="s">
        <v>72</v>
      </c>
      <c r="G29" s="71" t="s">
        <v>72</v>
      </c>
      <c r="H29" s="71" t="s">
        <v>72</v>
      </c>
    </row>
    <row r="30" spans="1:8" ht="18" customHeight="1" x14ac:dyDescent="0.35"/>
    <row r="31" spans="1:8" ht="24" customHeight="1" x14ac:dyDescent="0.35">
      <c r="A31" s="70" t="s">
        <v>73</v>
      </c>
      <c r="B31" s="70" t="s">
        <v>73</v>
      </c>
      <c r="C31" s="70" t="s">
        <v>73</v>
      </c>
      <c r="D31" s="70" t="s">
        <v>73</v>
      </c>
      <c r="E31" s="70" t="s">
        <v>73</v>
      </c>
      <c r="F31" s="70" t="s">
        <v>73</v>
      </c>
      <c r="G31" s="70" t="s">
        <v>73</v>
      </c>
      <c r="H31" s="70" t="s">
        <v>73</v>
      </c>
    </row>
    <row r="32" spans="1:8" ht="24" customHeight="1" x14ac:dyDescent="0.35">
      <c r="A32" s="71" t="s">
        <v>74</v>
      </c>
      <c r="B32" s="71" t="s">
        <v>74</v>
      </c>
      <c r="C32" s="71" t="s">
        <v>74</v>
      </c>
      <c r="D32" s="71" t="s">
        <v>74</v>
      </c>
      <c r="E32" s="71" t="s">
        <v>74</v>
      </c>
      <c r="F32" s="71" t="s">
        <v>74</v>
      </c>
      <c r="G32" s="71" t="s">
        <v>74</v>
      </c>
      <c r="H32" s="71" t="s">
        <v>74</v>
      </c>
    </row>
    <row r="33" spans="1:8" ht="24" customHeight="1" x14ac:dyDescent="0.35">
      <c r="A33" s="71" t="s">
        <v>74</v>
      </c>
      <c r="B33" s="71" t="s">
        <v>74</v>
      </c>
      <c r="C33" s="71" t="s">
        <v>74</v>
      </c>
      <c r="D33" s="71" t="s">
        <v>74</v>
      </c>
      <c r="E33" s="71" t="s">
        <v>74</v>
      </c>
      <c r="F33" s="71" t="s">
        <v>74</v>
      </c>
      <c r="G33" s="71" t="s">
        <v>74</v>
      </c>
      <c r="H33" s="71" t="s">
        <v>74</v>
      </c>
    </row>
    <row r="34" spans="1:8" ht="24" customHeight="1" x14ac:dyDescent="0.35">
      <c r="A34" s="71" t="s">
        <v>74</v>
      </c>
      <c r="B34" s="71" t="s">
        <v>74</v>
      </c>
      <c r="C34" s="71" t="s">
        <v>74</v>
      </c>
      <c r="D34" s="71" t="s">
        <v>74</v>
      </c>
      <c r="E34" s="71" t="s">
        <v>74</v>
      </c>
      <c r="F34" s="71" t="s">
        <v>74</v>
      </c>
      <c r="G34" s="71" t="s">
        <v>74</v>
      </c>
      <c r="H34" s="71" t="s">
        <v>74</v>
      </c>
    </row>
    <row r="35" spans="1:8" ht="24" customHeight="1" x14ac:dyDescent="0.35">
      <c r="A35" s="71" t="s">
        <v>74</v>
      </c>
      <c r="B35" s="71" t="s">
        <v>74</v>
      </c>
      <c r="C35" s="71" t="s">
        <v>74</v>
      </c>
      <c r="D35" s="71" t="s">
        <v>74</v>
      </c>
      <c r="E35" s="71" t="s">
        <v>74</v>
      </c>
      <c r="F35" s="71" t="s">
        <v>74</v>
      </c>
      <c r="G35" s="71" t="s">
        <v>74</v>
      </c>
      <c r="H35" s="71" t="s">
        <v>74</v>
      </c>
    </row>
    <row r="36" spans="1:8" ht="18" customHeight="1" x14ac:dyDescent="0.35"/>
    <row r="37" spans="1:8" ht="24" customHeight="1" x14ac:dyDescent="0.35">
      <c r="A37" s="70" t="s">
        <v>75</v>
      </c>
      <c r="B37" s="70" t="s">
        <v>75</v>
      </c>
      <c r="C37" s="70" t="s">
        <v>75</v>
      </c>
      <c r="D37" s="70" t="s">
        <v>75</v>
      </c>
      <c r="E37" s="70" t="s">
        <v>75</v>
      </c>
      <c r="F37" s="70" t="s">
        <v>75</v>
      </c>
      <c r="G37" s="70" t="s">
        <v>75</v>
      </c>
      <c r="H37" s="70" t="s">
        <v>75</v>
      </c>
    </row>
    <row r="38" spans="1:8" ht="24" customHeight="1" x14ac:dyDescent="0.35">
      <c r="A38" s="71" t="s">
        <v>76</v>
      </c>
      <c r="B38" s="71" t="s">
        <v>76</v>
      </c>
      <c r="C38" s="71" t="s">
        <v>76</v>
      </c>
      <c r="D38" s="71" t="s">
        <v>76</v>
      </c>
      <c r="E38" s="71" t="s">
        <v>76</v>
      </c>
      <c r="F38" s="71" t="s">
        <v>76</v>
      </c>
      <c r="G38" s="71" t="s">
        <v>76</v>
      </c>
      <c r="H38" s="71" t="s">
        <v>76</v>
      </c>
    </row>
    <row r="39" spans="1:8" ht="24" customHeight="1" x14ac:dyDescent="0.35">
      <c r="A39" s="71" t="s">
        <v>76</v>
      </c>
      <c r="B39" s="71" t="s">
        <v>76</v>
      </c>
      <c r="C39" s="71" t="s">
        <v>76</v>
      </c>
      <c r="D39" s="71" t="s">
        <v>76</v>
      </c>
      <c r="E39" s="71" t="s">
        <v>76</v>
      </c>
      <c r="F39" s="71" t="s">
        <v>76</v>
      </c>
      <c r="G39" s="71" t="s">
        <v>76</v>
      </c>
      <c r="H39" s="71" t="s">
        <v>76</v>
      </c>
    </row>
    <row r="40" spans="1:8" ht="24" customHeight="1" x14ac:dyDescent="0.35">
      <c r="A40" s="71" t="s">
        <v>76</v>
      </c>
      <c r="B40" s="71" t="s">
        <v>76</v>
      </c>
      <c r="C40" s="71" t="s">
        <v>76</v>
      </c>
      <c r="D40" s="71" t="s">
        <v>76</v>
      </c>
      <c r="E40" s="71" t="s">
        <v>76</v>
      </c>
      <c r="F40" s="71" t="s">
        <v>76</v>
      </c>
      <c r="G40" s="71" t="s">
        <v>76</v>
      </c>
      <c r="H40" s="71" t="s">
        <v>76</v>
      </c>
    </row>
    <row r="41" spans="1:8" ht="24" customHeight="1" x14ac:dyDescent="0.35">
      <c r="A41" s="71" t="s">
        <v>76</v>
      </c>
      <c r="B41" s="71" t="s">
        <v>76</v>
      </c>
      <c r="C41" s="71" t="s">
        <v>76</v>
      </c>
      <c r="D41" s="71" t="s">
        <v>76</v>
      </c>
      <c r="E41" s="71" t="s">
        <v>76</v>
      </c>
      <c r="F41" s="71" t="s">
        <v>76</v>
      </c>
      <c r="G41" s="71" t="s">
        <v>76</v>
      </c>
      <c r="H41" s="71" t="s">
        <v>76</v>
      </c>
    </row>
    <row r="42" spans="1:8" ht="18" customHeight="1" x14ac:dyDescent="0.35"/>
    <row r="43" spans="1:8" ht="24" customHeight="1" x14ac:dyDescent="0.35">
      <c r="A43" s="73" t="s">
        <v>77</v>
      </c>
      <c r="B43" s="73" t="s">
        <v>77</v>
      </c>
      <c r="C43" s="73" t="s">
        <v>77</v>
      </c>
      <c r="D43" s="73" t="s">
        <v>77</v>
      </c>
      <c r="E43" s="73" t="s">
        <v>77</v>
      </c>
      <c r="F43" s="73" t="s">
        <v>77</v>
      </c>
      <c r="G43" s="73" t="s">
        <v>77</v>
      </c>
      <c r="H43" s="73" t="s">
        <v>77</v>
      </c>
    </row>
    <row r="44" spans="1:8" ht="18" customHeight="1" x14ac:dyDescent="0.35">
      <c r="A44" s="74" t="s">
        <v>78</v>
      </c>
      <c r="B44" s="74" t="s">
        <v>78</v>
      </c>
      <c r="C44" s="75" t="s">
        <v>20</v>
      </c>
      <c r="D44" s="75" t="s">
        <v>20</v>
      </c>
      <c r="E44" s="75" t="s">
        <v>20</v>
      </c>
      <c r="F44" s="75" t="s">
        <v>20</v>
      </c>
      <c r="G44" s="75" t="s">
        <v>20</v>
      </c>
      <c r="H44" s="75" t="s">
        <v>20</v>
      </c>
    </row>
    <row r="45" spans="1:8" ht="18" customHeight="1" x14ac:dyDescent="0.35">
      <c r="A45" s="76" t="s">
        <v>79</v>
      </c>
      <c r="B45" s="76" t="s">
        <v>79</v>
      </c>
      <c r="C45" s="77" t="s">
        <v>23</v>
      </c>
      <c r="D45" s="77" t="s">
        <v>23</v>
      </c>
      <c r="E45" s="77" t="s">
        <v>23</v>
      </c>
      <c r="F45" s="77" t="s">
        <v>23</v>
      </c>
      <c r="G45" s="77" t="s">
        <v>23</v>
      </c>
      <c r="H45" s="77" t="s">
        <v>23</v>
      </c>
    </row>
    <row r="46" spans="1:8" ht="18" customHeight="1" x14ac:dyDescent="0.35">
      <c r="A46" s="78" t="s">
        <v>80</v>
      </c>
      <c r="B46" s="78" t="s">
        <v>80</v>
      </c>
      <c r="C46" s="79" t="s">
        <v>26</v>
      </c>
      <c r="D46" s="79" t="s">
        <v>26</v>
      </c>
      <c r="E46" s="79" t="s">
        <v>26</v>
      </c>
      <c r="F46" s="79" t="s">
        <v>26</v>
      </c>
      <c r="G46" s="79" t="s">
        <v>26</v>
      </c>
      <c r="H46" s="79" t="s">
        <v>26</v>
      </c>
    </row>
    <row r="47" spans="1:8" ht="18" customHeight="1" x14ac:dyDescent="0.35">
      <c r="A47" s="80" t="s">
        <v>81</v>
      </c>
      <c r="B47" s="80" t="s">
        <v>81</v>
      </c>
      <c r="C47" s="81" t="s">
        <v>29</v>
      </c>
      <c r="D47" s="81" t="s">
        <v>29</v>
      </c>
      <c r="E47" s="81" t="s">
        <v>29</v>
      </c>
      <c r="F47" s="81" t="s">
        <v>29</v>
      </c>
      <c r="G47" s="81" t="s">
        <v>29</v>
      </c>
      <c r="H47" s="81" t="s">
        <v>29</v>
      </c>
    </row>
    <row r="48" spans="1:8" ht="18" customHeight="1" x14ac:dyDescent="0.35">
      <c r="A48" s="82" t="s">
        <v>82</v>
      </c>
      <c r="B48" s="82" t="s">
        <v>82</v>
      </c>
      <c r="C48" s="83" t="s">
        <v>32</v>
      </c>
      <c r="D48" s="83" t="s">
        <v>32</v>
      </c>
      <c r="E48" s="83" t="s">
        <v>32</v>
      </c>
      <c r="F48" s="83" t="s">
        <v>32</v>
      </c>
      <c r="G48" s="83" t="s">
        <v>32</v>
      </c>
      <c r="H48" s="83" t="s">
        <v>32</v>
      </c>
    </row>
    <row r="49" spans="1:8" ht="18" customHeight="1" x14ac:dyDescent="0.35">
      <c r="A49" s="84" t="s">
        <v>83</v>
      </c>
      <c r="B49" s="84" t="s">
        <v>83</v>
      </c>
      <c r="C49" s="85" t="s">
        <v>35</v>
      </c>
      <c r="D49" s="85" t="s">
        <v>35</v>
      </c>
      <c r="E49" s="85" t="s">
        <v>35</v>
      </c>
      <c r="F49" s="85" t="s">
        <v>35</v>
      </c>
      <c r="G49" s="85" t="s">
        <v>35</v>
      </c>
      <c r="H49" s="85" t="s">
        <v>35</v>
      </c>
    </row>
    <row r="50" spans="1:8" ht="18" customHeight="1" x14ac:dyDescent="0.35"/>
    <row r="51" spans="1:8" ht="24" customHeight="1" x14ac:dyDescent="0.35">
      <c r="A51" s="86" t="s">
        <v>84</v>
      </c>
      <c r="B51" s="86" t="s">
        <v>84</v>
      </c>
      <c r="C51" s="86" t="s">
        <v>84</v>
      </c>
      <c r="D51" s="86" t="s">
        <v>84</v>
      </c>
      <c r="E51" s="86" t="s">
        <v>84</v>
      </c>
      <c r="F51" s="86" t="s">
        <v>84</v>
      </c>
      <c r="G51" s="86" t="s">
        <v>84</v>
      </c>
      <c r="H51" s="86" t="s">
        <v>84</v>
      </c>
    </row>
    <row r="52" spans="1:8" ht="24" customHeight="1" x14ac:dyDescent="0.35">
      <c r="A52" s="86" t="s">
        <v>84</v>
      </c>
      <c r="B52" s="86" t="s">
        <v>84</v>
      </c>
      <c r="C52" s="86" t="s">
        <v>84</v>
      </c>
      <c r="D52" s="86" t="s">
        <v>84</v>
      </c>
      <c r="E52" s="86" t="s">
        <v>84</v>
      </c>
      <c r="F52" s="86" t="s">
        <v>84</v>
      </c>
      <c r="G52" s="86" t="s">
        <v>84</v>
      </c>
      <c r="H52" s="86" t="s">
        <v>84</v>
      </c>
    </row>
    <row r="53" spans="1:8" ht="18" customHeight="1" x14ac:dyDescent="0.35"/>
    <row r="54" spans="1:8" ht="24" customHeight="1" x14ac:dyDescent="0.35">
      <c r="A54" s="87" t="str">
        <f>HYPERLINK("#'Database Guide &amp; Links'!A1","OPEN DATABASE GUIDE")</f>
        <v>OPEN DATABASE GUIDE</v>
      </c>
      <c r="B54" s="87"/>
      <c r="C54" s="87"/>
      <c r="F54" s="87" t="str">
        <f>HYPERLINK("#'Complaint Database'!A1","OPEN COMPLAINT DATABASE")</f>
        <v>OPEN COMPLAINT DATABASE</v>
      </c>
      <c r="G54" s="87"/>
      <c r="H54" s="87"/>
    </row>
    <row r="55" spans="1:8" ht="24" customHeight="1" x14ac:dyDescent="0.35">
      <c r="A55" s="87"/>
      <c r="B55" s="87"/>
      <c r="C55" s="87"/>
      <c r="F55" s="87"/>
      <c r="G55" s="87"/>
      <c r="H55" s="87"/>
    </row>
  </sheetData>
  <mergeCells count="32">
    <mergeCell ref="A49:B49"/>
    <mergeCell ref="C49:H49"/>
    <mergeCell ref="A51:H52"/>
    <mergeCell ref="A54:C55"/>
    <mergeCell ref="F54:H55"/>
    <mergeCell ref="A46:B46"/>
    <mergeCell ref="C46:H46"/>
    <mergeCell ref="A47:B47"/>
    <mergeCell ref="C47:H47"/>
    <mergeCell ref="A48:B48"/>
    <mergeCell ref="C48:H48"/>
    <mergeCell ref="A38:H41"/>
    <mergeCell ref="A43:H43"/>
    <mergeCell ref="A44:B44"/>
    <mergeCell ref="C44:H44"/>
    <mergeCell ref="A45:B45"/>
    <mergeCell ref="C45:H45"/>
    <mergeCell ref="A25:H25"/>
    <mergeCell ref="A26:H29"/>
    <mergeCell ref="A31:H31"/>
    <mergeCell ref="A32:H35"/>
    <mergeCell ref="A37:H37"/>
    <mergeCell ref="A10:H12"/>
    <mergeCell ref="A14:H14"/>
    <mergeCell ref="A15:H17"/>
    <mergeCell ref="A19:H19"/>
    <mergeCell ref="A20:H23"/>
    <mergeCell ref="A1:H1"/>
    <mergeCell ref="A2:H2"/>
    <mergeCell ref="A4:H4"/>
    <mergeCell ref="A5:H7"/>
    <mergeCell ref="A9:H9"/>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04"/>
  <sheetViews>
    <sheetView tabSelected="1" topLeftCell="A450" zoomScaleNormal="100" workbookViewId="0">
      <selection activeCell="A452" sqref="A452"/>
    </sheetView>
  </sheetViews>
  <sheetFormatPr defaultColWidth="8.6640625" defaultRowHeight="12.75" x14ac:dyDescent="0.35"/>
  <cols>
    <col min="1" max="1" width="11" customWidth="1"/>
    <col min="2" max="2" width="22" customWidth="1"/>
    <col min="3" max="3" width="24" customWidth="1"/>
    <col min="4" max="4" width="14" customWidth="1"/>
    <col min="5" max="5" width="34" customWidth="1"/>
    <col min="6" max="6" width="26" customWidth="1"/>
    <col min="7" max="7" width="34" customWidth="1"/>
    <col min="8" max="8" width="44" customWidth="1"/>
    <col min="9" max="9" width="28" customWidth="1"/>
    <col min="10" max="10" width="25" customWidth="1"/>
    <col min="11" max="11" width="24" customWidth="1"/>
    <col min="12" max="13" width="34" customWidth="1"/>
    <col min="14" max="14" width="25" customWidth="1"/>
    <col min="15" max="15" width="34" customWidth="1"/>
    <col min="16" max="16" width="25" customWidth="1"/>
    <col min="17" max="17" width="28" customWidth="1"/>
  </cols>
  <sheetData>
    <row r="1" spans="1:17" ht="42.4" customHeight="1" x14ac:dyDescent="0.35">
      <c r="A1" s="88" t="s">
        <v>85</v>
      </c>
      <c r="B1" s="88"/>
      <c r="C1" s="88"/>
      <c r="D1" s="88"/>
      <c r="E1" s="88"/>
      <c r="F1" s="88"/>
      <c r="G1" s="88"/>
      <c r="H1" s="88"/>
      <c r="I1" s="88"/>
      <c r="J1" s="88"/>
      <c r="K1" s="88"/>
      <c r="L1" s="88"/>
      <c r="M1" s="88"/>
      <c r="N1" s="88"/>
      <c r="O1" s="88"/>
      <c r="P1" s="88"/>
      <c r="Q1" s="88"/>
    </row>
    <row r="2" spans="1:17" ht="22.05" customHeight="1" x14ac:dyDescent="0.35">
      <c r="A2" s="89" t="s">
        <v>86</v>
      </c>
      <c r="B2" s="89"/>
      <c r="C2" s="89"/>
      <c r="D2" s="89"/>
      <c r="E2" s="89"/>
      <c r="F2" s="89"/>
      <c r="G2" s="89"/>
      <c r="H2" s="89"/>
      <c r="I2" s="89"/>
      <c r="J2" s="89"/>
      <c r="K2" s="89"/>
      <c r="L2" s="89"/>
      <c r="M2" s="89"/>
      <c r="N2" s="89"/>
      <c r="O2" s="89"/>
      <c r="P2" s="89"/>
      <c r="Q2" s="89"/>
    </row>
    <row r="3" spans="1:17" ht="28.9" customHeight="1" x14ac:dyDescent="0.45">
      <c r="A3" s="37" t="str">
        <f>HYPERLINK("#'Complaint Database'!A5","LAWSUIT / COURT CASE")</f>
        <v>LAWSUIT / COURT CASE</v>
      </c>
      <c r="B3" s="38" t="str">
        <f>HYPERLINK("#'Complaint Database'!A274","HOMEOWNER / PROPERTY OWNER COMPLAINT")</f>
        <v>HOMEOWNER / PROPERTY OWNER COMPLAINT</v>
      </c>
      <c r="C3" s="39" t="str">
        <f>HYPERLINK("#'Complaint Database'!A346","BOARD MEMBER COMPLAINT")</f>
        <v>BOARD MEMBER COMPLAINT</v>
      </c>
      <c r="D3" s="40" t="str">
        <f>HYPERLINK("#'Complaint Database'!A404","CRIMINAL CASE / PROSECUTION")</f>
        <v>CRIMINAL CASE / PROSECUTION</v>
      </c>
      <c r="E3" s="41" t="str">
        <f>HYPERLINK("#'Complaint Database'!A452","REGULATORY ACTION / ENFORCEMENT")</f>
        <v>REGULATORY ACTION / ENFORCEMENT</v>
      </c>
      <c r="F3" s="42" t="str">
        <f>HYPERLINK("#'Complaint Database'!A462","INDUSTRY PRACTICE / FINANCIAL MECHANISM")</f>
        <v>INDUSTRY PRACTICE / FINANCIAL MECHANISM</v>
      </c>
      <c r="G3" s="43" t="s">
        <v>87</v>
      </c>
      <c r="H3" s="44" t="s">
        <v>88</v>
      </c>
      <c r="I3" s="44"/>
    </row>
    <row r="4" spans="1:17" ht="75" customHeight="1" x14ac:dyDescent="0.35">
      <c r="A4" s="45" t="s">
        <v>89</v>
      </c>
      <c r="B4" s="45" t="s">
        <v>90</v>
      </c>
      <c r="C4" s="45" t="s">
        <v>91</v>
      </c>
      <c r="D4" s="45" t="s">
        <v>92</v>
      </c>
      <c r="E4" s="45" t="s">
        <v>93</v>
      </c>
      <c r="F4" s="45" t="s">
        <v>94</v>
      </c>
      <c r="G4" s="45" t="s">
        <v>95</v>
      </c>
      <c r="H4" s="45" t="s">
        <v>96</v>
      </c>
      <c r="I4" s="45" t="s">
        <v>97</v>
      </c>
      <c r="J4" s="45" t="s">
        <v>98</v>
      </c>
      <c r="K4" s="45" t="s">
        <v>99</v>
      </c>
      <c r="L4" s="45" t="s">
        <v>100</v>
      </c>
      <c r="M4" s="45" t="s">
        <v>101</v>
      </c>
      <c r="N4" s="45" t="s">
        <v>102</v>
      </c>
      <c r="O4" s="45" t="s">
        <v>103</v>
      </c>
      <c r="P4" s="45" t="s">
        <v>104</v>
      </c>
      <c r="Q4" s="45" t="s">
        <v>105</v>
      </c>
    </row>
    <row r="5" spans="1:17" ht="179.75" customHeight="1" x14ac:dyDescent="0.35">
      <c r="A5" s="46" t="s">
        <v>106</v>
      </c>
      <c r="B5" s="46" t="s">
        <v>107</v>
      </c>
      <c r="C5" s="47" t="s">
        <v>108</v>
      </c>
      <c r="D5" s="47" t="s">
        <v>109</v>
      </c>
      <c r="E5" s="46" t="s">
        <v>110</v>
      </c>
      <c r="F5" s="47" t="s">
        <v>111</v>
      </c>
      <c r="G5" s="46" t="s">
        <v>112</v>
      </c>
      <c r="H5" s="47" t="s">
        <v>113</v>
      </c>
      <c r="I5" s="47"/>
      <c r="J5" s="47" t="s">
        <v>114</v>
      </c>
      <c r="K5" s="47" t="s">
        <v>115</v>
      </c>
      <c r="L5" s="47" t="s">
        <v>116</v>
      </c>
      <c r="M5" s="48" t="str">
        <f>HYPERLINK("https://www.reddit.com/r/fuckHOA/comments/1twv4jb/hoa_sweeps_our_less_than_5yo_neighborhood_for_the/","https://www.reddit.com/r/fuckHOA/comments/1twv4jb/hoa_sweeps_our_less_than_5yo_neighborhood_for_the/")</f>
        <v>https://www.reddit.com/r/fuckHOA/comments/1twv4jb/hoa_sweeps_our_less_than_5yo_neighborhood_for_the/</v>
      </c>
      <c r="N5" s="47" t="s">
        <v>117</v>
      </c>
      <c r="O5" s="47" t="s">
        <v>118</v>
      </c>
      <c r="P5" s="46" t="s">
        <v>119</v>
      </c>
      <c r="Q5" s="46" t="s">
        <v>20</v>
      </c>
    </row>
    <row r="6" spans="1:17" ht="179.75" customHeight="1" x14ac:dyDescent="0.35">
      <c r="A6" s="46" t="s">
        <v>120</v>
      </c>
      <c r="B6" s="46" t="s">
        <v>107</v>
      </c>
      <c r="C6" s="47" t="s">
        <v>121</v>
      </c>
      <c r="D6" s="47" t="s">
        <v>122</v>
      </c>
      <c r="E6" s="46" t="s">
        <v>123</v>
      </c>
      <c r="F6" s="47" t="s">
        <v>124</v>
      </c>
      <c r="G6" s="46" t="s">
        <v>125</v>
      </c>
      <c r="H6" s="47" t="s">
        <v>126</v>
      </c>
      <c r="I6" s="47" t="s">
        <v>127</v>
      </c>
      <c r="J6" s="47" t="s">
        <v>128</v>
      </c>
      <c r="K6" s="47" t="s">
        <v>129</v>
      </c>
      <c r="L6" s="47" t="s">
        <v>130</v>
      </c>
      <c r="M6" s="48" t="str">
        <f>HYPERLINK("https://www.reddit.com/r/fuckHOA/comments/gpo65f","https://www.reddit.com/r/fuckHOA/comments/gpo65f")</f>
        <v>https://www.reddit.com/r/fuckHOA/comments/gpo65f</v>
      </c>
      <c r="N6" s="47" t="s">
        <v>131</v>
      </c>
      <c r="O6" s="47" t="s">
        <v>132</v>
      </c>
      <c r="P6" s="46" t="s">
        <v>119</v>
      </c>
      <c r="Q6" s="46" t="s">
        <v>20</v>
      </c>
    </row>
    <row r="7" spans="1:17" ht="179.75" customHeight="1" x14ac:dyDescent="0.35">
      <c r="A7" s="46" t="s">
        <v>133</v>
      </c>
      <c r="B7" s="46" t="s">
        <v>107</v>
      </c>
      <c r="C7" s="47" t="s">
        <v>134</v>
      </c>
      <c r="D7" s="47" t="s">
        <v>135</v>
      </c>
      <c r="E7" s="46" t="s">
        <v>136</v>
      </c>
      <c r="F7" s="47" t="s">
        <v>137</v>
      </c>
      <c r="G7" s="46" t="s">
        <v>138</v>
      </c>
      <c r="H7" s="47" t="s">
        <v>139</v>
      </c>
      <c r="I7" s="47" t="s">
        <v>140</v>
      </c>
      <c r="J7" s="47" t="s">
        <v>141</v>
      </c>
      <c r="K7" s="47" t="s">
        <v>142</v>
      </c>
      <c r="L7" s="47" t="s">
        <v>143</v>
      </c>
      <c r="M7" s="48" t="str">
        <f>HYPERLINK("https://therealdeal.com/miami/2026/05/26/how-the-hammocks-hosted-the-biggest-known-hoa-fraud/","https://therealdeal.com/miami/2026/05/26/how-the-hammocks-hosted-the-biggest-known-hoa-fraud/")</f>
        <v>https://therealdeal.com/miami/2026/05/26/how-the-hammocks-hosted-the-biggest-known-hoa-fraud/</v>
      </c>
      <c r="N7" s="47" t="s">
        <v>144</v>
      </c>
      <c r="O7" s="47" t="s">
        <v>145</v>
      </c>
      <c r="P7" s="46" t="s">
        <v>119</v>
      </c>
      <c r="Q7" s="46" t="s">
        <v>20</v>
      </c>
    </row>
    <row r="8" spans="1:17" ht="179.75" customHeight="1" x14ac:dyDescent="0.35">
      <c r="A8" s="46" t="s">
        <v>146</v>
      </c>
      <c r="B8" s="46" t="s">
        <v>147</v>
      </c>
      <c r="C8" s="47" t="s">
        <v>148</v>
      </c>
      <c r="D8" s="47" t="s">
        <v>149</v>
      </c>
      <c r="E8" s="46" t="s">
        <v>150</v>
      </c>
      <c r="F8" s="47" t="s">
        <v>151</v>
      </c>
      <c r="G8" s="46" t="s">
        <v>152</v>
      </c>
      <c r="H8" s="47" t="s">
        <v>153</v>
      </c>
      <c r="I8" s="47" t="s">
        <v>154</v>
      </c>
      <c r="J8" s="47" t="s">
        <v>155</v>
      </c>
      <c r="K8" s="47" t="s">
        <v>156</v>
      </c>
      <c r="L8" s="47" t="s">
        <v>157</v>
      </c>
      <c r="M8" s="48" t="str">
        <f>HYPERLINK("https://www.habitatmag.com/Archive2/179-May-2002/Turning-Points","https://www.habitatmag.com/Archive2/179-May-2002/Turning-Points")</f>
        <v>https://www.habitatmag.com/Archive2/179-May-2002/Turning-Points</v>
      </c>
      <c r="N8" s="47" t="s">
        <v>144</v>
      </c>
      <c r="O8" s="47" t="s">
        <v>158</v>
      </c>
      <c r="P8" s="46" t="s">
        <v>119</v>
      </c>
      <c r="Q8" s="46" t="s">
        <v>20</v>
      </c>
    </row>
    <row r="9" spans="1:17" ht="179.75" customHeight="1" x14ac:dyDescent="0.35">
      <c r="A9" s="46" t="s">
        <v>159</v>
      </c>
      <c r="B9" s="46" t="s">
        <v>147</v>
      </c>
      <c r="C9" s="47" t="s">
        <v>160</v>
      </c>
      <c r="D9" s="47" t="s">
        <v>161</v>
      </c>
      <c r="E9" s="46" t="s">
        <v>162</v>
      </c>
      <c r="F9" s="47" t="s">
        <v>163</v>
      </c>
      <c r="G9" s="46" t="s">
        <v>164</v>
      </c>
      <c r="H9" s="47" t="s">
        <v>165</v>
      </c>
      <c r="I9" s="47" t="s">
        <v>166</v>
      </c>
      <c r="J9" s="47" t="s">
        <v>167</v>
      </c>
      <c r="K9" s="47" t="s">
        <v>129</v>
      </c>
      <c r="L9" s="47" t="s">
        <v>168</v>
      </c>
      <c r="M9" s="48" t="str">
        <f>HYPERLINK("https://www.reddit.com/r/HOA/comments/huqxw5","https://www.reddit.com/r/HOA/comments/huqxw5")</f>
        <v>https://www.reddit.com/r/HOA/comments/huqxw5</v>
      </c>
      <c r="N9" s="47" t="s">
        <v>169</v>
      </c>
      <c r="O9" s="47" t="s">
        <v>170</v>
      </c>
      <c r="P9" s="46" t="s">
        <v>119</v>
      </c>
      <c r="Q9" s="46" t="s">
        <v>20</v>
      </c>
    </row>
    <row r="10" spans="1:17" ht="179.75" customHeight="1" x14ac:dyDescent="0.35">
      <c r="A10" s="46" t="s">
        <v>171</v>
      </c>
      <c r="B10" s="46" t="s">
        <v>107</v>
      </c>
      <c r="C10" s="47" t="s">
        <v>107</v>
      </c>
      <c r="D10" s="47" t="s">
        <v>161</v>
      </c>
      <c r="E10" s="46" t="s">
        <v>172</v>
      </c>
      <c r="F10" s="47" t="s">
        <v>173</v>
      </c>
      <c r="G10" s="46" t="s">
        <v>174</v>
      </c>
      <c r="H10" s="47" t="s">
        <v>175</v>
      </c>
      <c r="I10" s="47" t="s">
        <v>176</v>
      </c>
      <c r="J10" s="47" t="s">
        <v>177</v>
      </c>
      <c r="K10" s="47" t="s">
        <v>129</v>
      </c>
      <c r="L10" s="47" t="s">
        <v>178</v>
      </c>
      <c r="M10" s="48" t="str">
        <f>HYPERLINK("https://www.reddit.com/r/fuckHOA/comments/1lyuhs7","https://www.reddit.com/r/fuckHOA/comments/1lyuhs7")</f>
        <v>https://www.reddit.com/r/fuckHOA/comments/1lyuhs7</v>
      </c>
      <c r="N10" s="47" t="s">
        <v>179</v>
      </c>
      <c r="O10" s="47" t="s">
        <v>180</v>
      </c>
      <c r="P10" s="46" t="s">
        <v>119</v>
      </c>
      <c r="Q10" s="46" t="s">
        <v>20</v>
      </c>
    </row>
    <row r="11" spans="1:17" ht="179.75" customHeight="1" x14ac:dyDescent="0.35">
      <c r="A11" s="46" t="s">
        <v>181</v>
      </c>
      <c r="B11" s="46" t="s">
        <v>107</v>
      </c>
      <c r="C11" s="47" t="s">
        <v>182</v>
      </c>
      <c r="D11" s="47" t="s">
        <v>183</v>
      </c>
      <c r="E11" s="46" t="s">
        <v>184</v>
      </c>
      <c r="F11" s="47" t="s">
        <v>185</v>
      </c>
      <c r="G11" s="46" t="s">
        <v>186</v>
      </c>
      <c r="H11" s="47" t="s">
        <v>187</v>
      </c>
      <c r="I11" s="47" t="s">
        <v>188</v>
      </c>
      <c r="J11" s="47" t="s">
        <v>189</v>
      </c>
      <c r="K11" s="47" t="s">
        <v>190</v>
      </c>
      <c r="L11" s="47" t="s">
        <v>191</v>
      </c>
      <c r="M11" s="48" t="str">
        <f>HYPERLINK("https://www.journal-news.com/news/west-chester-condo-owners-claim-scheme-led-380k-plus-loss/wIddlDMfLPOgWKclziQt0O/","https://www.journal-news.com/news/west-chester-condo-owners-claim-scheme-led-380k-plus-loss/wIddlDMfLPOgWKclziQt0O/")</f>
        <v>https://www.journal-news.com/news/west-chester-condo-owners-claim-scheme-led-380k-plus-loss/wIddlDMfLPOgWKclziQt0O/</v>
      </c>
      <c r="N11" s="47" t="s">
        <v>144</v>
      </c>
      <c r="O11" s="47" t="s">
        <v>192</v>
      </c>
      <c r="P11" s="46" t="s">
        <v>119</v>
      </c>
      <c r="Q11" s="46" t="s">
        <v>20</v>
      </c>
    </row>
    <row r="12" spans="1:17" ht="179.75" customHeight="1" x14ac:dyDescent="0.35">
      <c r="A12" s="46" t="s">
        <v>193</v>
      </c>
      <c r="B12" s="46" t="s">
        <v>107</v>
      </c>
      <c r="C12" s="47" t="s">
        <v>194</v>
      </c>
      <c r="D12" s="47" t="s">
        <v>195</v>
      </c>
      <c r="E12" s="46" t="s">
        <v>196</v>
      </c>
      <c r="F12" s="47" t="s">
        <v>197</v>
      </c>
      <c r="G12" s="46" t="s">
        <v>198</v>
      </c>
      <c r="H12" s="47" t="s">
        <v>199</v>
      </c>
      <c r="I12" s="47" t="s">
        <v>200</v>
      </c>
      <c r="J12" s="47" t="s">
        <v>201</v>
      </c>
      <c r="K12" s="47" t="s">
        <v>202</v>
      </c>
      <c r="L12" s="47" t="s">
        <v>203</v>
      </c>
      <c r="M12" s="48" t="str">
        <f>HYPERLINK("https://rulings.law/rulings/judge-bruce-g-iwasaki/24stcv00677-2024-07-11.html","https://rulings.law/rulings/judge-bruce-g-iwasaki/24stcv00677-2024-07-11.html")</f>
        <v>https://rulings.law/rulings/judge-bruce-g-iwasaki/24stcv00677-2024-07-11.html</v>
      </c>
      <c r="N12" s="47" t="s">
        <v>204</v>
      </c>
      <c r="O12" s="47" t="s">
        <v>205</v>
      </c>
      <c r="P12" s="46" t="s">
        <v>119</v>
      </c>
      <c r="Q12" s="46" t="s">
        <v>20</v>
      </c>
    </row>
    <row r="13" spans="1:17" ht="179.75" customHeight="1" x14ac:dyDescent="0.35">
      <c r="A13" s="46" t="s">
        <v>206</v>
      </c>
      <c r="B13" s="46" t="s">
        <v>107</v>
      </c>
      <c r="C13" s="47" t="s">
        <v>207</v>
      </c>
      <c r="D13" s="47" t="s">
        <v>135</v>
      </c>
      <c r="E13" s="46" t="s">
        <v>208</v>
      </c>
      <c r="F13" s="47" t="s">
        <v>209</v>
      </c>
      <c r="G13" s="46" t="s">
        <v>210</v>
      </c>
      <c r="H13" s="47" t="s">
        <v>211</v>
      </c>
      <c r="I13" s="47" t="s">
        <v>212</v>
      </c>
      <c r="J13" s="47" t="s">
        <v>213</v>
      </c>
      <c r="K13" s="47" t="s">
        <v>214</v>
      </c>
      <c r="L13" s="47" t="s">
        <v>215</v>
      </c>
      <c r="M13" s="48" t="str">
        <f>HYPERLINK("https://www.reddit.com/r/legaladvice/comments/1td9ctv/hoa_issues_any_advice/","https://www.reddit.com/r/legaladvice/comments/1td9ctv/hoa_issues_any_advice/")</f>
        <v>https://www.reddit.com/r/legaladvice/comments/1td9ctv/hoa_issues_any_advice/</v>
      </c>
      <c r="N13" s="47" t="s">
        <v>179</v>
      </c>
      <c r="O13" s="47" t="s">
        <v>216</v>
      </c>
      <c r="P13" s="46" t="s">
        <v>119</v>
      </c>
      <c r="Q13" s="46" t="s">
        <v>20</v>
      </c>
    </row>
    <row r="14" spans="1:17" ht="179.75" customHeight="1" x14ac:dyDescent="0.35">
      <c r="A14" s="46" t="s">
        <v>217</v>
      </c>
      <c r="B14" s="46" t="s">
        <v>218</v>
      </c>
      <c r="C14" s="47" t="s">
        <v>219</v>
      </c>
      <c r="D14" s="47" t="s">
        <v>149</v>
      </c>
      <c r="E14" s="46" t="s">
        <v>220</v>
      </c>
      <c r="F14" s="47" t="s">
        <v>221</v>
      </c>
      <c r="G14" s="46" t="s">
        <v>222</v>
      </c>
      <c r="H14" s="47" t="s">
        <v>223</v>
      </c>
      <c r="I14" s="47" t="s">
        <v>224</v>
      </c>
      <c r="J14" s="47" t="s">
        <v>225</v>
      </c>
      <c r="K14" s="47" t="s">
        <v>226</v>
      </c>
      <c r="L14" s="47" t="s">
        <v>227</v>
      </c>
      <c r="M14" s="48" t="str">
        <f>HYPERLINK("https://alblawfirm.com/published-decisions/peny-co-plaintiff-v-936-938-cliffcrest-housing-development-fund-corporation/","https://alblawfirm.com/published-decisions/peny-co-plaintiff-v-936-938-cliffcrest-housing-development-fund-corporation/")</f>
        <v>https://alblawfirm.com/published-decisions/peny-co-plaintiff-v-936-938-cliffcrest-housing-development-fund-corporation/</v>
      </c>
      <c r="N14" s="47" t="s">
        <v>228</v>
      </c>
      <c r="O14" s="47" t="s">
        <v>229</v>
      </c>
      <c r="P14" s="46" t="s">
        <v>230</v>
      </c>
      <c r="Q14" s="46" t="s">
        <v>20</v>
      </c>
    </row>
    <row r="15" spans="1:17" ht="179.75" customHeight="1" x14ac:dyDescent="0.35">
      <c r="A15" s="46" t="s">
        <v>231</v>
      </c>
      <c r="B15" s="46" t="s">
        <v>218</v>
      </c>
      <c r="C15" s="47" t="s">
        <v>232</v>
      </c>
      <c r="D15" s="47" t="s">
        <v>233</v>
      </c>
      <c r="E15" s="46" t="s">
        <v>234</v>
      </c>
      <c r="F15" s="47" t="s">
        <v>235</v>
      </c>
      <c r="G15" s="46" t="s">
        <v>236</v>
      </c>
      <c r="H15" s="47" t="s">
        <v>237</v>
      </c>
      <c r="I15" s="47" t="s">
        <v>238</v>
      </c>
      <c r="J15" s="47" t="s">
        <v>239</v>
      </c>
      <c r="K15" s="47" t="s">
        <v>240</v>
      </c>
      <c r="L15" s="47" t="s">
        <v>241</v>
      </c>
      <c r="M15" s="48" t="str">
        <f>HYPERLINK("https://www.govinfo.gov/content/pkg/USCOURTS-vtd-1_08-cv-00186/pdf/USCOURTS-vtd-1_08-cv-00186-0.pdf","https://www.govinfo.gov/content/pkg/USCOURTS-vtd-1_08-cv-00186/pdf/USCOURTS-vtd-1_08-cv-00186-0.pdf")</f>
        <v>https://www.govinfo.gov/content/pkg/USCOURTS-vtd-1_08-cv-00186/pdf/USCOURTS-vtd-1_08-cv-00186-0.pdf</v>
      </c>
      <c r="N15" s="47" t="s">
        <v>242</v>
      </c>
      <c r="O15" s="47" t="s">
        <v>243</v>
      </c>
      <c r="P15" s="46" t="s">
        <v>119</v>
      </c>
      <c r="Q15" s="46" t="s">
        <v>20</v>
      </c>
    </row>
    <row r="16" spans="1:17" ht="179.75" customHeight="1" x14ac:dyDescent="0.35">
      <c r="A16" s="46" t="s">
        <v>244</v>
      </c>
      <c r="B16" s="46" t="s">
        <v>107</v>
      </c>
      <c r="C16" s="47" t="s">
        <v>245</v>
      </c>
      <c r="D16" s="47" t="s">
        <v>195</v>
      </c>
      <c r="E16" s="46" t="s">
        <v>246</v>
      </c>
      <c r="F16" s="47" t="s">
        <v>247</v>
      </c>
      <c r="G16" s="46" t="s">
        <v>248</v>
      </c>
      <c r="H16" s="47" t="s">
        <v>249</v>
      </c>
      <c r="I16" s="47" t="s">
        <v>250</v>
      </c>
      <c r="J16" s="47" t="s">
        <v>251</v>
      </c>
      <c r="K16" s="47" t="s">
        <v>252</v>
      </c>
      <c r="L16" s="47" t="s">
        <v>253</v>
      </c>
      <c r="M16" s="48" t="str">
        <f>HYPERLINK("https://www.talkirvine.com/threads/another-northwood-estates-northwood-ii-lawsuit-has-been-filed-against-the-board-of-directors-pmp-management-and-about-a-dozen-complicit-homeowne.19058/","https://www.talkirvine.com/threads/another-northwood-estates-northwood-ii-lawsuit-has-been-filed-against-the-board-of-directors-pmp-management-and-about-a-dozen-complicit-homeowne.19058/")</f>
        <v>https://www.talkirvine.com/threads/another-northwood-estates-northwood-ii-lawsuit-has-been-filed-against-the-board-of-directors-pmp-management-and-about-a-dozen-complicit-homeowne.19058/</v>
      </c>
      <c r="N16" s="47" t="s">
        <v>254</v>
      </c>
      <c r="O16" s="47" t="s">
        <v>255</v>
      </c>
      <c r="P16" s="46" t="s">
        <v>119</v>
      </c>
      <c r="Q16" s="46" t="s">
        <v>20</v>
      </c>
    </row>
    <row r="17" spans="1:17" ht="179.75" customHeight="1" x14ac:dyDescent="0.35">
      <c r="A17" s="46" t="s">
        <v>256</v>
      </c>
      <c r="B17" s="46" t="s">
        <v>107</v>
      </c>
      <c r="C17" s="47" t="s">
        <v>257</v>
      </c>
      <c r="D17" s="47" t="s">
        <v>149</v>
      </c>
      <c r="E17" s="46" t="s">
        <v>258</v>
      </c>
      <c r="F17" s="47" t="s">
        <v>259</v>
      </c>
      <c r="G17" s="46" t="s">
        <v>260</v>
      </c>
      <c r="H17" s="47" t="s">
        <v>261</v>
      </c>
      <c r="I17" s="47" t="s">
        <v>262</v>
      </c>
      <c r="J17" s="47" t="s">
        <v>263</v>
      </c>
      <c r="K17" s="47" t="s">
        <v>156</v>
      </c>
      <c r="L17" s="47" t="s">
        <v>264</v>
      </c>
      <c r="M17" s="48" t="str">
        <f>HYPERLINK("https://www.habitatmag.com/Publication-Content/Legal-Financial/2024/March-2024/Lawsuit-Based-on-Racketeering-Act-Seeks-Ouster-of-Fifth-Avenue-Co-op-Board","https://www.habitatmag.com/Publication-Content/Legal-Financial/2024/March-2024/Lawsuit-Based-on-Racketeering-Act-Seeks-Ouster-of-Fifth-Avenue-Co-op-Board")</f>
        <v>https://www.habitatmag.com/Publication-Content/Legal-Financial/2024/March-2024/Lawsuit-Based-on-Racketeering-Act-Seeks-Ouster-of-Fifth-Avenue-Co-op-Board</v>
      </c>
      <c r="N17" s="47" t="s">
        <v>265</v>
      </c>
      <c r="O17" s="47" t="s">
        <v>266</v>
      </c>
      <c r="P17" s="46" t="s">
        <v>119</v>
      </c>
      <c r="Q17" s="46" t="s">
        <v>20</v>
      </c>
    </row>
    <row r="18" spans="1:17" ht="179.75" customHeight="1" x14ac:dyDescent="0.35">
      <c r="A18" s="46" t="s">
        <v>267</v>
      </c>
      <c r="B18" s="46" t="s">
        <v>218</v>
      </c>
      <c r="C18" s="47" t="s">
        <v>268</v>
      </c>
      <c r="D18" s="47" t="s">
        <v>195</v>
      </c>
      <c r="E18" s="46" t="s">
        <v>269</v>
      </c>
      <c r="F18" s="47" t="s">
        <v>270</v>
      </c>
      <c r="G18" s="46" t="s">
        <v>271</v>
      </c>
      <c r="H18" s="47" t="s">
        <v>272</v>
      </c>
      <c r="I18" s="47" t="s">
        <v>273</v>
      </c>
      <c r="J18" s="47" t="s">
        <v>274</v>
      </c>
      <c r="K18" s="47" t="s">
        <v>275</v>
      </c>
      <c r="L18" s="47" t="s">
        <v>276</v>
      </c>
      <c r="M18" s="48" t="str">
        <f>HYPERLINK("https://www.govinfo.gov/app/details/USCOURTS-caed-2_24-cv-02782","https://www.govinfo.gov/app/details/USCOURTS-caed-2_24-cv-02782")</f>
        <v>https://www.govinfo.gov/app/details/USCOURTS-caed-2_24-cv-02782</v>
      </c>
      <c r="N18" s="47" t="s">
        <v>277</v>
      </c>
      <c r="O18" s="47" t="s">
        <v>278</v>
      </c>
      <c r="P18" s="46" t="s">
        <v>279</v>
      </c>
      <c r="Q18" s="46" t="s">
        <v>20</v>
      </c>
    </row>
    <row r="19" spans="1:17" ht="179.75" customHeight="1" x14ac:dyDescent="0.35">
      <c r="A19" s="46" t="s">
        <v>280</v>
      </c>
      <c r="B19" s="46" t="s">
        <v>218</v>
      </c>
      <c r="C19" s="47" t="s">
        <v>281</v>
      </c>
      <c r="D19" s="47" t="s">
        <v>282</v>
      </c>
      <c r="E19" s="46" t="s">
        <v>283</v>
      </c>
      <c r="F19" s="47" t="s">
        <v>284</v>
      </c>
      <c r="G19" s="46" t="s">
        <v>285</v>
      </c>
      <c r="H19" s="47" t="s">
        <v>286</v>
      </c>
      <c r="I19" s="47" t="s">
        <v>287</v>
      </c>
      <c r="J19" s="47" t="s">
        <v>288</v>
      </c>
      <c r="K19" s="47" t="s">
        <v>289</v>
      </c>
      <c r="L19" s="47" t="s">
        <v>290</v>
      </c>
      <c r="M19" s="48" t="str">
        <f>HYPERLINK("https://www.classaction.org/news/class-action-claims-certain-maryland-homeowners-charged-illegal-fees-on-hoa-dues","https://www.classaction.org/news/class-action-claims-certain-maryland-homeowners-charged-illegal-fees-on-hoa-dues")</f>
        <v>https://www.classaction.org/news/class-action-claims-certain-maryland-homeowners-charged-illegal-fees-on-hoa-dues</v>
      </c>
      <c r="N19" s="47" t="s">
        <v>291</v>
      </c>
      <c r="O19" s="47" t="s">
        <v>292</v>
      </c>
      <c r="P19" s="46" t="s">
        <v>293</v>
      </c>
      <c r="Q19" s="46" t="s">
        <v>20</v>
      </c>
    </row>
    <row r="20" spans="1:17" ht="179.75" customHeight="1" x14ac:dyDescent="0.35">
      <c r="A20" s="46" t="s">
        <v>294</v>
      </c>
      <c r="B20" s="46" t="s">
        <v>218</v>
      </c>
      <c r="C20" s="47" t="s">
        <v>295</v>
      </c>
      <c r="D20" s="47" t="s">
        <v>296</v>
      </c>
      <c r="E20" s="46" t="s">
        <v>297</v>
      </c>
      <c r="F20" s="47" t="s">
        <v>298</v>
      </c>
      <c r="G20" s="46" t="s">
        <v>299</v>
      </c>
      <c r="H20" s="47" t="s">
        <v>300</v>
      </c>
      <c r="I20" s="47" t="s">
        <v>301</v>
      </c>
      <c r="J20" s="47" t="s">
        <v>302</v>
      </c>
      <c r="K20" s="47" t="s">
        <v>303</v>
      </c>
      <c r="L20" s="47" t="s">
        <v>304</v>
      </c>
      <c r="M20" s="48" t="str">
        <f>HYPERLINK("https://dockets.justia.com/docket/illinois/ilndce/1%3A2022cv00997/412798","https://dockets.justia.com/docket/illinois/ilndce/1%3A2022cv00997/412798")</f>
        <v>https://dockets.justia.com/docket/illinois/ilndce/1%3A2022cv00997/412798</v>
      </c>
      <c r="N20" s="47" t="s">
        <v>305</v>
      </c>
      <c r="O20" s="47" t="s">
        <v>306</v>
      </c>
      <c r="P20" s="46" t="s">
        <v>293</v>
      </c>
      <c r="Q20" s="46" t="s">
        <v>20</v>
      </c>
    </row>
    <row r="21" spans="1:17" ht="179.75" customHeight="1" x14ac:dyDescent="0.35">
      <c r="A21" s="46" t="s">
        <v>307</v>
      </c>
      <c r="B21" s="46" t="s">
        <v>218</v>
      </c>
      <c r="C21" s="47" t="s">
        <v>308</v>
      </c>
      <c r="D21" s="47" t="s">
        <v>309</v>
      </c>
      <c r="E21" s="46" t="s">
        <v>310</v>
      </c>
      <c r="F21" s="47" t="s">
        <v>311</v>
      </c>
      <c r="G21" s="46" t="s">
        <v>312</v>
      </c>
      <c r="H21" s="47" t="s">
        <v>313</v>
      </c>
      <c r="I21" s="47" t="s">
        <v>314</v>
      </c>
      <c r="J21" s="47" t="s">
        <v>315</v>
      </c>
      <c r="K21" s="47" t="s">
        <v>316</v>
      </c>
      <c r="L21" s="47" t="s">
        <v>317</v>
      </c>
      <c r="M21" s="48" t="str">
        <f>HYPERLINK("https://law.justia.com/cases/federal/district-courts/nevada/nvdce/2%3A2012cv01773/90469/56/","https://law.justia.com/cases/federal/district-courts/nevada/nvdce/2%3A2012cv01773/90469/56/")</f>
        <v>https://law.justia.com/cases/federal/district-courts/nevada/nvdce/2%3A2012cv01773/90469/56/</v>
      </c>
      <c r="N21" s="47" t="s">
        <v>318</v>
      </c>
      <c r="O21" s="47" t="s">
        <v>319</v>
      </c>
      <c r="P21" s="46" t="s">
        <v>320</v>
      </c>
      <c r="Q21" s="46" t="s">
        <v>20</v>
      </c>
    </row>
    <row r="22" spans="1:17" ht="179.75" customHeight="1" x14ac:dyDescent="0.35">
      <c r="A22" s="46" t="s">
        <v>321</v>
      </c>
      <c r="B22" s="46" t="s">
        <v>218</v>
      </c>
      <c r="C22" s="47" t="s">
        <v>322</v>
      </c>
      <c r="D22" s="47" t="s">
        <v>296</v>
      </c>
      <c r="E22" s="46" t="s">
        <v>323</v>
      </c>
      <c r="F22" s="47" t="s">
        <v>324</v>
      </c>
      <c r="G22" s="46" t="s">
        <v>325</v>
      </c>
      <c r="H22" s="47" t="s">
        <v>326</v>
      </c>
      <c r="I22" s="47" t="s">
        <v>327</v>
      </c>
      <c r="J22" s="47" t="s">
        <v>328</v>
      </c>
      <c r="K22" s="47" t="s">
        <v>329</v>
      </c>
      <c r="L22" s="47" t="s">
        <v>330</v>
      </c>
      <c r="M22" s="48" t="str">
        <f>HYPERLINK("https://law.justia.com/cases/illinois/supreme-court/2022/128040.html","https://law.justia.com/cases/illinois/supreme-court/2022/128040.html")</f>
        <v>https://law.justia.com/cases/illinois/supreme-court/2022/128040.html</v>
      </c>
      <c r="N22" s="47" t="s">
        <v>331</v>
      </c>
      <c r="O22" s="47" t="s">
        <v>332</v>
      </c>
      <c r="P22" s="46" t="s">
        <v>333</v>
      </c>
      <c r="Q22" s="46" t="s">
        <v>20</v>
      </c>
    </row>
    <row r="23" spans="1:17" ht="179.75" customHeight="1" x14ac:dyDescent="0.35">
      <c r="A23" s="46" t="s">
        <v>334</v>
      </c>
      <c r="B23" s="46" t="s">
        <v>218</v>
      </c>
      <c r="C23" s="47" t="s">
        <v>335</v>
      </c>
      <c r="D23" s="47" t="s">
        <v>296</v>
      </c>
      <c r="E23" s="46" t="s">
        <v>336</v>
      </c>
      <c r="F23" s="47" t="s">
        <v>337</v>
      </c>
      <c r="G23" s="46" t="s">
        <v>338</v>
      </c>
      <c r="H23" s="47" t="s">
        <v>339</v>
      </c>
      <c r="I23" s="47" t="s">
        <v>340</v>
      </c>
      <c r="J23" s="47" t="s">
        <v>341</v>
      </c>
      <c r="K23" s="47" t="s">
        <v>342</v>
      </c>
      <c r="L23" s="47" t="s">
        <v>343</v>
      </c>
      <c r="M23" s="48" t="str">
        <f>HYPERLINK("https://law.justia.com/cases/federal/appellate-courts/ca7/18-2150/18-2150-2019-10-21.html","https://law.justia.com/cases/federal/appellate-courts/ca7/18-2150/18-2150-2019-10-21.html")</f>
        <v>https://law.justia.com/cases/federal/appellate-courts/ca7/18-2150/18-2150-2019-10-21.html</v>
      </c>
      <c r="N23" s="47" t="s">
        <v>344</v>
      </c>
      <c r="O23" s="47" t="s">
        <v>345</v>
      </c>
      <c r="P23" s="46" t="s">
        <v>333</v>
      </c>
      <c r="Q23" s="46" t="s">
        <v>20</v>
      </c>
    </row>
    <row r="24" spans="1:17" ht="179.75" customHeight="1" x14ac:dyDescent="0.35">
      <c r="A24" s="46" t="s">
        <v>346</v>
      </c>
      <c r="B24" s="46" t="s">
        <v>347</v>
      </c>
      <c r="C24" s="47" t="s">
        <v>348</v>
      </c>
      <c r="D24" s="47" t="s">
        <v>349</v>
      </c>
      <c r="E24" s="46" t="s">
        <v>350</v>
      </c>
      <c r="F24" s="47" t="s">
        <v>351</v>
      </c>
      <c r="G24" s="46" t="s">
        <v>352</v>
      </c>
      <c r="H24" s="47" t="s">
        <v>353</v>
      </c>
      <c r="I24" s="47" t="s">
        <v>354</v>
      </c>
      <c r="J24" s="47" t="s">
        <v>355</v>
      </c>
      <c r="K24" s="47" t="s">
        <v>356</v>
      </c>
      <c r="L24" s="47" t="s">
        <v>357</v>
      </c>
      <c r="M24" s="48" t="str">
        <f>HYPERLINK("https://www.lrl.mn.gov/archive/minutes/senate/2025/finstlocalgov/20250401/finstlocalgov_20250401_SF1063-Lisa-Bartel-Testimony.pdf","https://www.lrl.mn.gov/archive/minutes/senate/2025/finstlocalgov/20250401/finstlocalgov_20250401_SF1063-Lisa-Bartel-Testimony.pdf")</f>
        <v>https://www.lrl.mn.gov/archive/minutes/senate/2025/finstlocalgov/20250401/finstlocalgov_20250401_SF1063-Lisa-Bartel-Testimony.pdf</v>
      </c>
      <c r="N24" s="47" t="s">
        <v>358</v>
      </c>
      <c r="O24" s="47" t="s">
        <v>359</v>
      </c>
      <c r="P24" s="46" t="s">
        <v>119</v>
      </c>
      <c r="Q24" s="46" t="s">
        <v>20</v>
      </c>
    </row>
    <row r="25" spans="1:17" ht="179.75" customHeight="1" x14ac:dyDescent="0.35">
      <c r="A25" s="46" t="s">
        <v>360</v>
      </c>
      <c r="B25" s="46" t="s">
        <v>218</v>
      </c>
      <c r="C25" s="49" t="s">
        <v>361</v>
      </c>
      <c r="D25" s="49" t="s">
        <v>195</v>
      </c>
      <c r="E25" s="46" t="s">
        <v>362</v>
      </c>
      <c r="F25" s="49" t="s">
        <v>363</v>
      </c>
      <c r="G25" s="46" t="s">
        <v>364</v>
      </c>
      <c r="H25" s="49" t="s">
        <v>365</v>
      </c>
      <c r="I25" s="49" t="s">
        <v>366</v>
      </c>
      <c r="J25" s="49" t="s">
        <v>367</v>
      </c>
      <c r="K25" s="49" t="s">
        <v>368</v>
      </c>
      <c r="L25" s="49" t="s">
        <v>369</v>
      </c>
      <c r="M25" s="48" t="str">
        <f>HYPERLINK("https://www.ahdootwolfson.com/blog/realmanage-llc-illegal-resale-documents-and-disclosures-fees-class-action-investigation/","https://www.ahdootwolfson.com/blog/realmanage-llc-illegal-resale-documents-and-disclosures-fees-class-action-investigation/")</f>
        <v>https://www.ahdootwolfson.com/blog/realmanage-llc-illegal-resale-documents-and-disclosures-fees-class-action-investigation/</v>
      </c>
      <c r="N25" s="49" t="s">
        <v>370</v>
      </c>
      <c r="O25" s="49" t="s">
        <v>371</v>
      </c>
      <c r="P25" s="46" t="s">
        <v>333</v>
      </c>
      <c r="Q25" s="49" t="s">
        <v>20</v>
      </c>
    </row>
    <row r="26" spans="1:17" ht="179.75" customHeight="1" x14ac:dyDescent="0.35">
      <c r="A26" s="46" t="s">
        <v>372</v>
      </c>
      <c r="B26" s="46" t="s">
        <v>218</v>
      </c>
      <c r="C26" s="49" t="s">
        <v>373</v>
      </c>
      <c r="D26" s="49" t="s">
        <v>135</v>
      </c>
      <c r="E26" s="46" t="s">
        <v>374</v>
      </c>
      <c r="F26" s="49" t="s">
        <v>375</v>
      </c>
      <c r="G26" s="46" t="s">
        <v>376</v>
      </c>
      <c r="H26" s="49" t="s">
        <v>377</v>
      </c>
      <c r="I26" s="49" t="s">
        <v>378</v>
      </c>
      <c r="J26" s="49" t="s">
        <v>379</v>
      </c>
      <c r="K26" s="49" t="s">
        <v>380</v>
      </c>
      <c r="L26" s="49" t="s">
        <v>381</v>
      </c>
      <c r="M26" s="48" t="str">
        <f>HYPERLINK("https://www.justice.gov/archives/opa/pr/justice-department-reaches-settlement-homeowners-association-and-property-management-company","https://www.justice.gov/archives/opa/pr/justice-department-reaches-settlement-homeowners-association-and-property-management-company")</f>
        <v>https://www.justice.gov/archives/opa/pr/justice-department-reaches-settlement-homeowners-association-and-property-management-company</v>
      </c>
      <c r="N26" s="49" t="s">
        <v>382</v>
      </c>
      <c r="O26" s="49" t="s">
        <v>383</v>
      </c>
      <c r="P26" s="46" t="s">
        <v>384</v>
      </c>
      <c r="Q26" s="49" t="s">
        <v>20</v>
      </c>
    </row>
    <row r="27" spans="1:17" ht="179.75" customHeight="1" x14ac:dyDescent="0.35">
      <c r="A27" s="46" t="s">
        <v>385</v>
      </c>
      <c r="B27" s="46" t="s">
        <v>218</v>
      </c>
      <c r="C27" s="49" t="s">
        <v>386</v>
      </c>
      <c r="D27" s="49" t="s">
        <v>387</v>
      </c>
      <c r="E27" s="46" t="s">
        <v>388</v>
      </c>
      <c r="F27" s="49" t="s">
        <v>389</v>
      </c>
      <c r="G27" s="46" t="s">
        <v>390</v>
      </c>
      <c r="H27" s="49" t="s">
        <v>391</v>
      </c>
      <c r="I27" s="49" t="s">
        <v>392</v>
      </c>
      <c r="J27" s="49" t="s">
        <v>393</v>
      </c>
      <c r="K27" s="49" t="s">
        <v>394</v>
      </c>
      <c r="L27" s="49" t="s">
        <v>395</v>
      </c>
      <c r="M27" s="48" t="str">
        <f>HYPERLINK("https://www.mcgrathnorth.com/when-a-terminated-property-manager-refuses-to-transfer-hoa-records-solutions-for-boards-in-disputes","https://www.mcgrathnorth.com/when-a-terminated-property-manager-refuses-to-transfer-hoa-records-solutions-for-boards-in-disputes")</f>
        <v>https://www.mcgrathnorth.com/when-a-terminated-property-manager-refuses-to-transfer-hoa-records-solutions-for-boards-in-disputes</v>
      </c>
      <c r="N27" s="49" t="s">
        <v>396</v>
      </c>
      <c r="O27" s="49" t="s">
        <v>397</v>
      </c>
      <c r="P27" s="46" t="s">
        <v>398</v>
      </c>
      <c r="Q27" s="49" t="s">
        <v>20</v>
      </c>
    </row>
    <row r="28" spans="1:17" ht="179.75" customHeight="1" x14ac:dyDescent="0.35">
      <c r="A28" s="46" t="s">
        <v>399</v>
      </c>
      <c r="B28" s="46" t="s">
        <v>400</v>
      </c>
      <c r="C28" s="49" t="s">
        <v>401</v>
      </c>
      <c r="D28" s="49" t="s">
        <v>402</v>
      </c>
      <c r="E28" s="46" t="s">
        <v>403</v>
      </c>
      <c r="F28" s="49" t="s">
        <v>404</v>
      </c>
      <c r="G28" s="46" t="s">
        <v>405</v>
      </c>
      <c r="H28" s="49" t="s">
        <v>406</v>
      </c>
      <c r="I28" s="49" t="s">
        <v>407</v>
      </c>
      <c r="J28" s="49" t="s">
        <v>408</v>
      </c>
      <c r="K28" s="49" t="s">
        <v>409</v>
      </c>
      <c r="L28" s="49" t="s">
        <v>410</v>
      </c>
      <c r="M28" s="48" t="str">
        <f>HYPERLINK("https://law.justia.com/cases/federal/district-courts/oregon/ordce/6%3A2016cv00300/125767/359/","https://law.justia.com/cases/federal/district-courts/oregon/ordce/6%3A2016cv00300/125767/359/")</f>
        <v>https://law.justia.com/cases/federal/district-courts/oregon/ordce/6%3A2016cv00300/125767/359/</v>
      </c>
      <c r="N28" s="49" t="s">
        <v>411</v>
      </c>
      <c r="O28" s="49" t="s">
        <v>412</v>
      </c>
      <c r="P28" s="46" t="s">
        <v>413</v>
      </c>
      <c r="Q28" s="49" t="s">
        <v>20</v>
      </c>
    </row>
    <row r="29" spans="1:17" ht="179.75" customHeight="1" x14ac:dyDescent="0.35">
      <c r="A29" s="46" t="s">
        <v>414</v>
      </c>
      <c r="B29" s="46" t="s">
        <v>400</v>
      </c>
      <c r="C29" s="47" t="s">
        <v>415</v>
      </c>
      <c r="D29" s="47" t="s">
        <v>416</v>
      </c>
      <c r="E29" s="46" t="s">
        <v>417</v>
      </c>
      <c r="F29" s="47" t="s">
        <v>418</v>
      </c>
      <c r="G29" s="46" t="s">
        <v>419</v>
      </c>
      <c r="H29" s="47" t="s">
        <v>420</v>
      </c>
      <c r="I29" s="47" t="s">
        <v>421</v>
      </c>
      <c r="J29" s="47" t="s">
        <v>422</v>
      </c>
      <c r="K29" s="47" t="s">
        <v>423</v>
      </c>
      <c r="L29" s="47" t="s">
        <v>424</v>
      </c>
      <c r="M29" s="48" t="str">
        <f>HYPERLINK("https://law.justia.com/cases/west-virginia/supreme-court/2023/22-0002-0.html","https://law.justia.com/cases/west-virginia/supreme-court/2023/22-0002-0.html")</f>
        <v>https://law.justia.com/cases/west-virginia/supreme-court/2023/22-0002-0.html</v>
      </c>
      <c r="N29" s="47" t="s">
        <v>425</v>
      </c>
      <c r="O29" s="47" t="s">
        <v>426</v>
      </c>
      <c r="P29" s="46" t="s">
        <v>413</v>
      </c>
      <c r="Q29" s="46" t="s">
        <v>20</v>
      </c>
    </row>
    <row r="30" spans="1:17" ht="179.75" customHeight="1" x14ac:dyDescent="0.35">
      <c r="A30" s="46" t="s">
        <v>427</v>
      </c>
      <c r="B30" s="46" t="s">
        <v>400</v>
      </c>
      <c r="C30" s="47" t="s">
        <v>428</v>
      </c>
      <c r="D30" s="47" t="s">
        <v>429</v>
      </c>
      <c r="E30" s="46" t="s">
        <v>430</v>
      </c>
      <c r="F30" s="47" t="s">
        <v>431</v>
      </c>
      <c r="G30" s="46" t="s">
        <v>432</v>
      </c>
      <c r="H30" s="47" t="s">
        <v>433</v>
      </c>
      <c r="I30" s="47" t="s">
        <v>434</v>
      </c>
      <c r="J30" s="47" t="s">
        <v>435</v>
      </c>
      <c r="K30" s="47" t="s">
        <v>436</v>
      </c>
      <c r="L30" s="47" t="s">
        <v>437</v>
      </c>
      <c r="M30" s="48" t="str">
        <f>HYPERLINK("https://law.justia.com/cases/indiana/court-of-appeals/2020/20a-pl-373.html","https://law.justia.com/cases/indiana/court-of-appeals/2020/20a-pl-373.html")</f>
        <v>https://law.justia.com/cases/indiana/court-of-appeals/2020/20a-pl-373.html</v>
      </c>
      <c r="N30" s="47" t="s">
        <v>438</v>
      </c>
      <c r="O30" s="47" t="s">
        <v>439</v>
      </c>
      <c r="P30" s="46" t="s">
        <v>413</v>
      </c>
      <c r="Q30" s="46" t="s">
        <v>20</v>
      </c>
    </row>
    <row r="31" spans="1:17" ht="179.75" customHeight="1" x14ac:dyDescent="0.35">
      <c r="A31" s="46" t="s">
        <v>440</v>
      </c>
      <c r="B31" s="46" t="s">
        <v>400</v>
      </c>
      <c r="C31" s="47" t="s">
        <v>441</v>
      </c>
      <c r="D31" s="47" t="s">
        <v>442</v>
      </c>
      <c r="E31" s="46" t="s">
        <v>443</v>
      </c>
      <c r="F31" s="47" t="s">
        <v>444</v>
      </c>
      <c r="G31" s="46" t="s">
        <v>445</v>
      </c>
      <c r="H31" s="47" t="s">
        <v>446</v>
      </c>
      <c r="I31" s="47" t="s">
        <v>447</v>
      </c>
      <c r="J31" s="47" t="s">
        <v>448</v>
      </c>
      <c r="K31" s="47" t="s">
        <v>449</v>
      </c>
      <c r="L31" s="47" t="s">
        <v>450</v>
      </c>
      <c r="M31" s="48" t="str">
        <f>HYPERLINK("https://law.justia.com/cases/south-carolina/supreme-court/2023/28134.html","https://law.justia.com/cases/south-carolina/supreme-court/2023/28134.html")</f>
        <v>https://law.justia.com/cases/south-carolina/supreme-court/2023/28134.html</v>
      </c>
      <c r="N31" s="47" t="s">
        <v>451</v>
      </c>
      <c r="O31" s="47" t="s">
        <v>452</v>
      </c>
      <c r="P31" s="46" t="s">
        <v>413</v>
      </c>
      <c r="Q31" s="46" t="s">
        <v>20</v>
      </c>
    </row>
    <row r="32" spans="1:17" ht="179.75" customHeight="1" x14ac:dyDescent="0.35">
      <c r="A32" s="46" t="s">
        <v>453</v>
      </c>
      <c r="B32" s="46" t="s">
        <v>400</v>
      </c>
      <c r="C32" s="47" t="s">
        <v>454</v>
      </c>
      <c r="D32" s="47" t="s">
        <v>195</v>
      </c>
      <c r="E32" s="46" t="s">
        <v>455</v>
      </c>
      <c r="F32" s="47" t="s">
        <v>456</v>
      </c>
      <c r="G32" s="46" t="s">
        <v>457</v>
      </c>
      <c r="H32" s="47" t="s">
        <v>458</v>
      </c>
      <c r="I32" s="47" t="s">
        <v>459</v>
      </c>
      <c r="J32" s="47" t="s">
        <v>460</v>
      </c>
      <c r="K32" s="47" t="s">
        <v>461</v>
      </c>
      <c r="L32" s="47" t="s">
        <v>462</v>
      </c>
      <c r="M32" s="48" t="str">
        <f>HYPERLINK("https://caselaw.findlaw.com/court/ca-court-of-appeal/1656455.html","https://caselaw.findlaw.com/court/ca-court-of-appeal/1656455.html")</f>
        <v>https://caselaw.findlaw.com/court/ca-court-of-appeal/1656455.html</v>
      </c>
      <c r="N32" s="47" t="s">
        <v>463</v>
      </c>
      <c r="O32" s="47" t="s">
        <v>464</v>
      </c>
      <c r="P32" s="46" t="s">
        <v>413</v>
      </c>
      <c r="Q32" s="46" t="s">
        <v>20</v>
      </c>
    </row>
    <row r="33" spans="1:17" ht="179.75" customHeight="1" x14ac:dyDescent="0.35">
      <c r="A33" s="46" t="s">
        <v>465</v>
      </c>
      <c r="B33" s="46" t="s">
        <v>400</v>
      </c>
      <c r="C33" s="47" t="s">
        <v>466</v>
      </c>
      <c r="D33" s="47" t="s">
        <v>195</v>
      </c>
      <c r="E33" s="46" t="s">
        <v>467</v>
      </c>
      <c r="F33" s="47" t="s">
        <v>468</v>
      </c>
      <c r="G33" s="46" t="s">
        <v>469</v>
      </c>
      <c r="H33" s="47" t="s">
        <v>470</v>
      </c>
      <c r="I33" s="47" t="s">
        <v>471</v>
      </c>
      <c r="J33" s="47" t="s">
        <v>472</v>
      </c>
      <c r="K33" s="47" t="s">
        <v>473</v>
      </c>
      <c r="L33" s="47" t="s">
        <v>474</v>
      </c>
      <c r="M33" s="48" t="str">
        <f>HYPERLINK("https://law.justia.com/cases/california/court-of-appeal/2021/d076775.html","https://law.justia.com/cases/california/court-of-appeal/2021/d076775.html")</f>
        <v>https://law.justia.com/cases/california/court-of-appeal/2021/d076775.html</v>
      </c>
      <c r="N33" s="47" t="s">
        <v>475</v>
      </c>
      <c r="O33" s="47" t="s">
        <v>476</v>
      </c>
      <c r="P33" s="46" t="s">
        <v>413</v>
      </c>
      <c r="Q33" s="46" t="s">
        <v>20</v>
      </c>
    </row>
    <row r="34" spans="1:17" ht="179.75" customHeight="1" x14ac:dyDescent="0.35">
      <c r="A34" s="46" t="s">
        <v>477</v>
      </c>
      <c r="B34" s="46" t="s">
        <v>400</v>
      </c>
      <c r="C34" s="47" t="s">
        <v>478</v>
      </c>
      <c r="D34" s="47" t="s">
        <v>479</v>
      </c>
      <c r="E34" s="46" t="s">
        <v>480</v>
      </c>
      <c r="F34" s="47" t="s">
        <v>481</v>
      </c>
      <c r="G34" s="46" t="s">
        <v>482</v>
      </c>
      <c r="H34" s="47" t="s">
        <v>483</v>
      </c>
      <c r="I34" s="47" t="s">
        <v>484</v>
      </c>
      <c r="J34" s="47" t="s">
        <v>485</v>
      </c>
      <c r="K34" s="47" t="s">
        <v>486</v>
      </c>
      <c r="L34" s="47" t="s">
        <v>487</v>
      </c>
      <c r="M34" s="48" t="str">
        <f>HYPERLINK("https://law.justia.com/cases/federal/district-courts/virginia/vaedce/1%3A2011cv00872/270744/148/","https://law.justia.com/cases/federal/district-courts/virginia/vaedce/1%3A2011cv00872/270744/148/")</f>
        <v>https://law.justia.com/cases/federal/district-courts/virginia/vaedce/1%3A2011cv00872/270744/148/</v>
      </c>
      <c r="N34" s="47" t="s">
        <v>488</v>
      </c>
      <c r="O34" s="47" t="s">
        <v>489</v>
      </c>
      <c r="P34" s="46" t="s">
        <v>413</v>
      </c>
      <c r="Q34" s="46" t="s">
        <v>20</v>
      </c>
    </row>
    <row r="35" spans="1:17" ht="179.75" customHeight="1" x14ac:dyDescent="0.35">
      <c r="A35" s="46" t="s">
        <v>490</v>
      </c>
      <c r="B35" s="46" t="s">
        <v>400</v>
      </c>
      <c r="C35" s="47" t="s">
        <v>491</v>
      </c>
      <c r="D35" s="47" t="s">
        <v>135</v>
      </c>
      <c r="E35" s="46" t="s">
        <v>492</v>
      </c>
      <c r="F35" s="47" t="s">
        <v>493</v>
      </c>
      <c r="G35" s="46" t="s">
        <v>494</v>
      </c>
      <c r="H35" s="47" t="s">
        <v>495</v>
      </c>
      <c r="I35" s="47" t="s">
        <v>496</v>
      </c>
      <c r="J35" s="47" t="s">
        <v>497</v>
      </c>
      <c r="K35" s="47" t="s">
        <v>498</v>
      </c>
      <c r="L35" s="47" t="s">
        <v>499</v>
      </c>
      <c r="M35" s="48" t="str">
        <f>HYPERLINK("https://law.justia.com/cases/federal/appellate-courts/ca11/21-12202/21-12202-2022-02-01.html","https://law.justia.com/cases/federal/appellate-courts/ca11/21-12202/21-12202-2022-02-01.html")</f>
        <v>https://law.justia.com/cases/federal/appellate-courts/ca11/21-12202/21-12202-2022-02-01.html</v>
      </c>
      <c r="N35" s="47" t="s">
        <v>500</v>
      </c>
      <c r="O35" s="47" t="s">
        <v>501</v>
      </c>
      <c r="P35" s="46" t="s">
        <v>413</v>
      </c>
      <c r="Q35" s="46" t="s">
        <v>20</v>
      </c>
    </row>
    <row r="36" spans="1:17" ht="179.75" customHeight="1" x14ac:dyDescent="0.35">
      <c r="A36" s="46" t="s">
        <v>502</v>
      </c>
      <c r="B36" s="46" t="s">
        <v>400</v>
      </c>
      <c r="C36" s="47" t="s">
        <v>503</v>
      </c>
      <c r="D36" s="47" t="s">
        <v>504</v>
      </c>
      <c r="E36" s="46" t="s">
        <v>505</v>
      </c>
      <c r="F36" s="47" t="s">
        <v>506</v>
      </c>
      <c r="G36" s="46" t="s">
        <v>507</v>
      </c>
      <c r="H36" s="47" t="s">
        <v>508</v>
      </c>
      <c r="I36" s="47" t="s">
        <v>509</v>
      </c>
      <c r="J36" s="47" t="s">
        <v>510</v>
      </c>
      <c r="K36" s="47" t="s">
        <v>511</v>
      </c>
      <c r="L36" s="47" t="s">
        <v>512</v>
      </c>
      <c r="M36" s="48" t="str">
        <f>HYPERLINK("https://law.justia.com/cases/tennessee/court-of-appeals/2023/e2022-00419-coa-r3-cv.html","https://law.justia.com/cases/tennessee/court-of-appeals/2023/e2022-00419-coa-r3-cv.html")</f>
        <v>https://law.justia.com/cases/tennessee/court-of-appeals/2023/e2022-00419-coa-r3-cv.html</v>
      </c>
      <c r="N36" s="47" t="s">
        <v>513</v>
      </c>
      <c r="O36" s="47" t="s">
        <v>514</v>
      </c>
      <c r="P36" s="46" t="s">
        <v>413</v>
      </c>
      <c r="Q36" s="46" t="s">
        <v>20</v>
      </c>
    </row>
    <row r="37" spans="1:17" ht="179.75" customHeight="1" x14ac:dyDescent="0.35">
      <c r="A37" s="46" t="s">
        <v>515</v>
      </c>
      <c r="B37" s="46" t="s">
        <v>400</v>
      </c>
      <c r="C37" s="47" t="s">
        <v>516</v>
      </c>
      <c r="D37" s="47" t="s">
        <v>517</v>
      </c>
      <c r="E37" s="46" t="s">
        <v>518</v>
      </c>
      <c r="F37" s="47" t="s">
        <v>519</v>
      </c>
      <c r="G37" s="46" t="s">
        <v>520</v>
      </c>
      <c r="H37" s="47" t="s">
        <v>521</v>
      </c>
      <c r="I37" s="47" t="s">
        <v>522</v>
      </c>
      <c r="J37" s="47" t="s">
        <v>523</v>
      </c>
      <c r="K37" s="47" t="s">
        <v>524</v>
      </c>
      <c r="L37" s="47" t="s">
        <v>525</v>
      </c>
      <c r="M37" s="48" t="str">
        <f>HYPERLINK("https://law.justia.com/cases/north-carolina/court-of-appeals/2020/19-801.html","https://law.justia.com/cases/north-carolina/court-of-appeals/2020/19-801.html")</f>
        <v>https://law.justia.com/cases/north-carolina/court-of-appeals/2020/19-801.html</v>
      </c>
      <c r="N37" s="47" t="s">
        <v>526</v>
      </c>
      <c r="O37" s="47" t="s">
        <v>527</v>
      </c>
      <c r="P37" s="46" t="s">
        <v>413</v>
      </c>
      <c r="Q37" s="46" t="s">
        <v>20</v>
      </c>
    </row>
    <row r="38" spans="1:17" ht="179.75" customHeight="1" x14ac:dyDescent="0.35">
      <c r="A38" s="46" t="s">
        <v>528</v>
      </c>
      <c r="B38" s="46" t="s">
        <v>400</v>
      </c>
      <c r="C38" s="47" t="s">
        <v>516</v>
      </c>
      <c r="D38" s="47" t="s">
        <v>504</v>
      </c>
      <c r="E38" s="46" t="s">
        <v>529</v>
      </c>
      <c r="F38" s="47" t="s">
        <v>530</v>
      </c>
      <c r="G38" s="46" t="s">
        <v>531</v>
      </c>
      <c r="H38" s="47" t="s">
        <v>532</v>
      </c>
      <c r="I38" s="47" t="s">
        <v>533</v>
      </c>
      <c r="J38" s="47" t="s">
        <v>534</v>
      </c>
      <c r="K38" s="47" t="s">
        <v>511</v>
      </c>
      <c r="L38" s="47" t="s">
        <v>535</v>
      </c>
      <c r="M38" s="48" t="str">
        <f>HYPERLINK("https://law.justia.com/cases/tennessee/court-of-appeals/2024/e2023-00808-coa-r3-cv.html","https://law.justia.com/cases/tennessee/court-of-appeals/2024/e2023-00808-coa-r3-cv.html")</f>
        <v>https://law.justia.com/cases/tennessee/court-of-appeals/2024/e2023-00808-coa-r3-cv.html</v>
      </c>
      <c r="N38" s="47" t="s">
        <v>536</v>
      </c>
      <c r="O38" s="47" t="s">
        <v>537</v>
      </c>
      <c r="P38" s="46" t="s">
        <v>413</v>
      </c>
      <c r="Q38" s="46" t="s">
        <v>20</v>
      </c>
    </row>
    <row r="39" spans="1:17" ht="179.75" customHeight="1" x14ac:dyDescent="0.35">
      <c r="A39" s="46" t="s">
        <v>538</v>
      </c>
      <c r="B39" s="46" t="s">
        <v>400</v>
      </c>
      <c r="C39" s="47" t="s">
        <v>539</v>
      </c>
      <c r="D39" s="47" t="s">
        <v>504</v>
      </c>
      <c r="E39" s="46" t="s">
        <v>540</v>
      </c>
      <c r="F39" s="47" t="s">
        <v>541</v>
      </c>
      <c r="G39" s="46" t="s">
        <v>542</v>
      </c>
      <c r="H39" s="47" t="s">
        <v>543</v>
      </c>
      <c r="I39" s="47" t="s">
        <v>544</v>
      </c>
      <c r="J39" s="47" t="s">
        <v>545</v>
      </c>
      <c r="K39" s="47" t="s">
        <v>511</v>
      </c>
      <c r="L39" s="47" t="s">
        <v>546</v>
      </c>
      <c r="M39" s="48" t="str">
        <f>HYPERLINK("https://law.justia.com/cases/tennessee/court-of-appeals/2024/e2023-01233-coa-r3-cv.html","https://law.justia.com/cases/tennessee/court-of-appeals/2024/e2023-01233-coa-r3-cv.html")</f>
        <v>https://law.justia.com/cases/tennessee/court-of-appeals/2024/e2023-01233-coa-r3-cv.html</v>
      </c>
      <c r="N39" s="47" t="s">
        <v>547</v>
      </c>
      <c r="O39" s="47" t="s">
        <v>548</v>
      </c>
      <c r="P39" s="46" t="s">
        <v>413</v>
      </c>
      <c r="Q39" s="46" t="s">
        <v>20</v>
      </c>
    </row>
    <row r="40" spans="1:17" ht="179.75" customHeight="1" x14ac:dyDescent="0.35">
      <c r="A40" s="46" t="s">
        <v>549</v>
      </c>
      <c r="B40" s="46" t="s">
        <v>400</v>
      </c>
      <c r="C40" s="47" t="s">
        <v>550</v>
      </c>
      <c r="D40" s="47" t="s">
        <v>442</v>
      </c>
      <c r="E40" s="46" t="s">
        <v>551</v>
      </c>
      <c r="F40" s="47" t="s">
        <v>552</v>
      </c>
      <c r="G40" s="46" t="s">
        <v>553</v>
      </c>
      <c r="H40" s="47" t="s">
        <v>554</v>
      </c>
      <c r="I40" s="47" t="s">
        <v>555</v>
      </c>
      <c r="J40" s="47" t="s">
        <v>556</v>
      </c>
      <c r="K40" s="47" t="s">
        <v>557</v>
      </c>
      <c r="L40" s="47" t="s">
        <v>558</v>
      </c>
      <c r="M40" s="48" t="str">
        <f>HYPERLINK("https://law.justia.com/cases/federal/appellate-courts/ca4/18-2202/18-2202-2020-06-10.html","https://law.justia.com/cases/federal/appellate-courts/ca4/18-2202/18-2202-2020-06-10.html")</f>
        <v>https://law.justia.com/cases/federal/appellate-courts/ca4/18-2202/18-2202-2020-06-10.html</v>
      </c>
      <c r="N40" s="47" t="s">
        <v>559</v>
      </c>
      <c r="O40" s="47" t="s">
        <v>560</v>
      </c>
      <c r="P40" s="46" t="s">
        <v>413</v>
      </c>
      <c r="Q40" s="46" t="s">
        <v>20</v>
      </c>
    </row>
    <row r="41" spans="1:17" ht="179.75" customHeight="1" x14ac:dyDescent="0.35">
      <c r="A41" s="46" t="s">
        <v>561</v>
      </c>
      <c r="B41" s="46" t="s">
        <v>400</v>
      </c>
      <c r="C41" s="47" t="s">
        <v>562</v>
      </c>
      <c r="D41" s="47" t="s">
        <v>442</v>
      </c>
      <c r="E41" s="46" t="s">
        <v>563</v>
      </c>
      <c r="F41" s="47" t="s">
        <v>564</v>
      </c>
      <c r="G41" s="46" t="s">
        <v>565</v>
      </c>
      <c r="H41" s="47" t="s">
        <v>566</v>
      </c>
      <c r="I41" s="47" t="s">
        <v>567</v>
      </c>
      <c r="J41" s="47" t="s">
        <v>568</v>
      </c>
      <c r="K41" s="47" t="s">
        <v>569</v>
      </c>
      <c r="L41" s="47" t="s">
        <v>570</v>
      </c>
      <c r="M41" s="48" t="str">
        <f>HYPERLINK("https://law.justia.com/cases/south-carolina/court-of-appeals/2025/2025-up-299.html","https://law.justia.com/cases/south-carolina/court-of-appeals/2025/2025-up-299.html")</f>
        <v>https://law.justia.com/cases/south-carolina/court-of-appeals/2025/2025-up-299.html</v>
      </c>
      <c r="N41" s="47" t="s">
        <v>571</v>
      </c>
      <c r="O41" s="47" t="s">
        <v>572</v>
      </c>
      <c r="P41" s="46" t="s">
        <v>413</v>
      </c>
      <c r="Q41" s="46" t="s">
        <v>20</v>
      </c>
    </row>
    <row r="42" spans="1:17" ht="179.75" customHeight="1" x14ac:dyDescent="0.35">
      <c r="A42" s="46" t="s">
        <v>573</v>
      </c>
      <c r="B42" s="46" t="s">
        <v>400</v>
      </c>
      <c r="C42" s="47" t="s">
        <v>428</v>
      </c>
      <c r="D42" s="47" t="s">
        <v>442</v>
      </c>
      <c r="E42" s="46" t="s">
        <v>574</v>
      </c>
      <c r="F42" s="47" t="s">
        <v>575</v>
      </c>
      <c r="G42" s="46" t="s">
        <v>576</v>
      </c>
      <c r="H42" s="47" t="s">
        <v>577</v>
      </c>
      <c r="I42" s="47" t="s">
        <v>578</v>
      </c>
      <c r="J42" s="47" t="s">
        <v>579</v>
      </c>
      <c r="K42" s="47" t="s">
        <v>580</v>
      </c>
      <c r="L42" s="47" t="s">
        <v>581</v>
      </c>
      <c r="M42" s="48" t="str">
        <f>HYPERLINK("https://law.justia.com/cases/federal/district-courts/south-carolina/scdce/6%3A2014cv02185/212998/57/","https://law.justia.com/cases/federal/district-courts/south-carolina/scdce/6%3A2014cv02185/212998/57/")</f>
        <v>https://law.justia.com/cases/federal/district-courts/south-carolina/scdce/6%3A2014cv02185/212998/57/</v>
      </c>
      <c r="N42" s="47" t="s">
        <v>582</v>
      </c>
      <c r="O42" s="47" t="s">
        <v>583</v>
      </c>
      <c r="P42" s="46" t="s">
        <v>413</v>
      </c>
      <c r="Q42" s="46" t="s">
        <v>20</v>
      </c>
    </row>
    <row r="43" spans="1:17" ht="179.75" customHeight="1" x14ac:dyDescent="0.35">
      <c r="A43" s="46" t="s">
        <v>584</v>
      </c>
      <c r="B43" s="46" t="s">
        <v>400</v>
      </c>
      <c r="C43" s="47" t="s">
        <v>585</v>
      </c>
      <c r="D43" s="47" t="s">
        <v>586</v>
      </c>
      <c r="E43" s="46" t="s">
        <v>587</v>
      </c>
      <c r="F43" s="47" t="s">
        <v>588</v>
      </c>
      <c r="G43" s="46" t="s">
        <v>589</v>
      </c>
      <c r="H43" s="47" t="s">
        <v>590</v>
      </c>
      <c r="I43" s="47" t="s">
        <v>591</v>
      </c>
      <c r="J43" s="47" t="s">
        <v>592</v>
      </c>
      <c r="K43" s="47" t="s">
        <v>593</v>
      </c>
      <c r="L43" s="47" t="s">
        <v>594</v>
      </c>
      <c r="M43" s="48" t="str">
        <f>HYPERLINK("https://law.justia.com/cases/maine/supreme-court/2025/2025-me-85.html","https://law.justia.com/cases/maine/supreme-court/2025/2025-me-85.html")</f>
        <v>https://law.justia.com/cases/maine/supreme-court/2025/2025-me-85.html</v>
      </c>
      <c r="N43" s="47" t="s">
        <v>595</v>
      </c>
      <c r="O43" s="47" t="s">
        <v>596</v>
      </c>
      <c r="P43" s="46" t="s">
        <v>413</v>
      </c>
      <c r="Q43" s="46" t="s">
        <v>20</v>
      </c>
    </row>
    <row r="44" spans="1:17" ht="179.75" customHeight="1" x14ac:dyDescent="0.35">
      <c r="A44" s="46" t="s">
        <v>597</v>
      </c>
      <c r="B44" s="46" t="s">
        <v>400</v>
      </c>
      <c r="C44" s="47" t="s">
        <v>598</v>
      </c>
      <c r="D44" s="47" t="s">
        <v>599</v>
      </c>
      <c r="E44" s="46" t="s">
        <v>600</v>
      </c>
      <c r="F44" s="47" t="s">
        <v>601</v>
      </c>
      <c r="G44" s="46" t="s">
        <v>602</v>
      </c>
      <c r="H44" s="47" t="s">
        <v>603</v>
      </c>
      <c r="I44" s="47" t="s">
        <v>604</v>
      </c>
      <c r="J44" s="47" t="s">
        <v>605</v>
      </c>
      <c r="K44" s="47" t="s">
        <v>606</v>
      </c>
      <c r="L44" s="47" t="s">
        <v>607</v>
      </c>
      <c r="M44" s="48" t="str">
        <f>HYPERLINK("https://law.justia.com/cases/district-of-columbia/court-of-appeals/2024/21-cv-0798.html","https://law.justia.com/cases/district-of-columbia/court-of-appeals/2024/21-cv-0798.html")</f>
        <v>https://law.justia.com/cases/district-of-columbia/court-of-appeals/2024/21-cv-0798.html</v>
      </c>
      <c r="N44" s="47" t="s">
        <v>608</v>
      </c>
      <c r="O44" s="47" t="s">
        <v>609</v>
      </c>
      <c r="P44" s="46" t="s">
        <v>413</v>
      </c>
      <c r="Q44" s="46" t="s">
        <v>20</v>
      </c>
    </row>
    <row r="45" spans="1:17" ht="179.75" customHeight="1" x14ac:dyDescent="0.35">
      <c r="A45" s="46" t="s">
        <v>610</v>
      </c>
      <c r="B45" s="46" t="s">
        <v>400</v>
      </c>
      <c r="C45" s="47" t="s">
        <v>611</v>
      </c>
      <c r="D45" s="47" t="s">
        <v>479</v>
      </c>
      <c r="E45" s="46" t="s">
        <v>612</v>
      </c>
      <c r="F45" s="47" t="s">
        <v>613</v>
      </c>
      <c r="G45" s="46" t="s">
        <v>614</v>
      </c>
      <c r="H45" s="47" t="s">
        <v>615</v>
      </c>
      <c r="I45" s="47" t="s">
        <v>616</v>
      </c>
      <c r="J45" s="47" t="s">
        <v>617</v>
      </c>
      <c r="K45" s="47" t="s">
        <v>618</v>
      </c>
      <c r="L45" s="47" t="s">
        <v>619</v>
      </c>
      <c r="M45" s="48" t="str">
        <f>HYPERLINK("https://law.justia.com/cases/federal/district-courts/virginia/vaedce/2%3A2022cv00491/531223/74/","https://law.justia.com/cases/federal/district-courts/virginia/vaedce/2%3A2022cv00491/531223/74/")</f>
        <v>https://law.justia.com/cases/federal/district-courts/virginia/vaedce/2%3A2022cv00491/531223/74/</v>
      </c>
      <c r="N45" s="47" t="s">
        <v>620</v>
      </c>
      <c r="O45" s="47" t="s">
        <v>621</v>
      </c>
      <c r="P45" s="46" t="s">
        <v>413</v>
      </c>
      <c r="Q45" s="46" t="s">
        <v>20</v>
      </c>
    </row>
    <row r="46" spans="1:17" ht="179.75" customHeight="1" x14ac:dyDescent="0.35">
      <c r="A46" s="46" t="s">
        <v>622</v>
      </c>
      <c r="B46" s="46" t="s">
        <v>400</v>
      </c>
      <c r="C46" s="47" t="s">
        <v>516</v>
      </c>
      <c r="D46" s="47" t="s">
        <v>135</v>
      </c>
      <c r="E46" s="46" t="s">
        <v>623</v>
      </c>
      <c r="F46" s="47" t="s">
        <v>624</v>
      </c>
      <c r="G46" s="46" t="s">
        <v>625</v>
      </c>
      <c r="H46" s="47" t="s">
        <v>626</v>
      </c>
      <c r="I46" s="47" t="s">
        <v>627</v>
      </c>
      <c r="J46" s="47" t="s">
        <v>628</v>
      </c>
      <c r="K46" s="47" t="s">
        <v>629</v>
      </c>
      <c r="L46" s="47" t="s">
        <v>630</v>
      </c>
      <c r="M46" s="48" t="str">
        <f>HYPERLINK("https://law.justia.com/cases/florida/fourth-district-court-of-appeal/2019/18-1320.html","https://law.justia.com/cases/florida/fourth-district-court-of-appeal/2019/18-1320.html")</f>
        <v>https://law.justia.com/cases/florida/fourth-district-court-of-appeal/2019/18-1320.html</v>
      </c>
      <c r="N46" s="47" t="s">
        <v>631</v>
      </c>
      <c r="O46" s="47" t="s">
        <v>632</v>
      </c>
      <c r="P46" s="46" t="s">
        <v>413</v>
      </c>
      <c r="Q46" s="46" t="s">
        <v>20</v>
      </c>
    </row>
    <row r="47" spans="1:17" ht="179.75" customHeight="1" x14ac:dyDescent="0.35">
      <c r="A47" s="46" t="s">
        <v>633</v>
      </c>
      <c r="B47" s="46" t="s">
        <v>400</v>
      </c>
      <c r="C47" s="47" t="s">
        <v>516</v>
      </c>
      <c r="D47" s="47" t="s">
        <v>135</v>
      </c>
      <c r="E47" s="46" t="s">
        <v>634</v>
      </c>
      <c r="F47" s="47" t="s">
        <v>635</v>
      </c>
      <c r="G47" s="46" t="s">
        <v>636</v>
      </c>
      <c r="H47" s="47" t="s">
        <v>637</v>
      </c>
      <c r="I47" s="47" t="s">
        <v>638</v>
      </c>
      <c r="J47" s="47" t="s">
        <v>639</v>
      </c>
      <c r="K47" s="47" t="s">
        <v>629</v>
      </c>
      <c r="L47" s="47" t="s">
        <v>640</v>
      </c>
      <c r="M47" s="48" t="str">
        <f>HYPERLINK("https://law.justia.com/cases/florida/fourth-district-court-of-appeal/2024/4d2023-1203.html","https://law.justia.com/cases/florida/fourth-district-court-of-appeal/2024/4d2023-1203.html")</f>
        <v>https://law.justia.com/cases/florida/fourth-district-court-of-appeal/2024/4d2023-1203.html</v>
      </c>
      <c r="N47" s="47" t="s">
        <v>641</v>
      </c>
      <c r="O47" s="47" t="s">
        <v>642</v>
      </c>
      <c r="P47" s="46" t="s">
        <v>413</v>
      </c>
      <c r="Q47" s="46" t="s">
        <v>20</v>
      </c>
    </row>
    <row r="48" spans="1:17" ht="179.75" customHeight="1" x14ac:dyDescent="0.35">
      <c r="A48" s="46" t="s">
        <v>643</v>
      </c>
      <c r="B48" s="46" t="s">
        <v>400</v>
      </c>
      <c r="C48" s="47" t="s">
        <v>644</v>
      </c>
      <c r="D48" s="47" t="s">
        <v>135</v>
      </c>
      <c r="E48" s="46" t="s">
        <v>645</v>
      </c>
      <c r="F48" s="47" t="s">
        <v>646</v>
      </c>
      <c r="G48" s="46" t="s">
        <v>647</v>
      </c>
      <c r="H48" s="47" t="s">
        <v>648</v>
      </c>
      <c r="I48" s="47" t="s">
        <v>649</v>
      </c>
      <c r="J48" s="47" t="s">
        <v>650</v>
      </c>
      <c r="K48" s="47" t="s">
        <v>651</v>
      </c>
      <c r="L48" s="47" t="s">
        <v>652</v>
      </c>
      <c r="M48" s="48" t="str">
        <f>HYPERLINK("https://rembaumsassociationroundup.com/2017/11/06/when-a-declared-condominium-appurtenance-to-unit-ownership-is-not-so-connected-after-all-a-study-in-the-misapplication-of-section-718-1104-florida-statutes/","https://rembaumsassociationroundup.com/2017/11/06/when-a-declared-condominium-appurtenance-to-unit-ownership-is-not-so-connected-after-all-a-study-in-the-misapplication-of-section-718-1104-florida-statutes/")</f>
        <v>https://rembaumsassociationroundup.com/2017/11/06/when-a-declared-condominium-appurtenance-to-unit-ownership-is-not-so-connected-after-all-a-study-in-the-misapplication-of-section-718-1104-florida-statutes/</v>
      </c>
      <c r="N48" s="47" t="s">
        <v>653</v>
      </c>
      <c r="O48" s="47" t="s">
        <v>654</v>
      </c>
      <c r="P48" s="46" t="s">
        <v>413</v>
      </c>
      <c r="Q48" s="46" t="s">
        <v>20</v>
      </c>
    </row>
    <row r="49" spans="1:17" ht="179.75" customHeight="1" x14ac:dyDescent="0.35">
      <c r="A49" s="46" t="s">
        <v>655</v>
      </c>
      <c r="B49" s="46" t="s">
        <v>400</v>
      </c>
      <c r="C49" s="47" t="s">
        <v>656</v>
      </c>
      <c r="D49" s="47" t="s">
        <v>504</v>
      </c>
      <c r="E49" s="46" t="s">
        <v>657</v>
      </c>
      <c r="F49" s="47" t="s">
        <v>658</v>
      </c>
      <c r="G49" s="46" t="s">
        <v>659</v>
      </c>
      <c r="H49" s="47" t="s">
        <v>660</v>
      </c>
      <c r="I49" s="47" t="s">
        <v>661</v>
      </c>
      <c r="J49" s="47" t="s">
        <v>662</v>
      </c>
      <c r="K49" s="47" t="s">
        <v>663</v>
      </c>
      <c r="L49" s="47" t="s">
        <v>664</v>
      </c>
      <c r="M49" s="48" t="str">
        <f>HYPERLINK("https://law.justia.com/cases/tennessee/court-of-appeals/2019/e2018-00375-coa-r3-cv.html","https://law.justia.com/cases/tennessee/court-of-appeals/2019/e2018-00375-coa-r3-cv.html")</f>
        <v>https://law.justia.com/cases/tennessee/court-of-appeals/2019/e2018-00375-coa-r3-cv.html</v>
      </c>
      <c r="N49" s="47" t="s">
        <v>665</v>
      </c>
      <c r="O49" s="47" t="s">
        <v>666</v>
      </c>
      <c r="P49" s="46" t="s">
        <v>413</v>
      </c>
      <c r="Q49" s="46" t="s">
        <v>20</v>
      </c>
    </row>
    <row r="50" spans="1:17" ht="179.75" customHeight="1" x14ac:dyDescent="0.35">
      <c r="A50" s="46" t="s">
        <v>667</v>
      </c>
      <c r="B50" s="46" t="s">
        <v>400</v>
      </c>
      <c r="C50" s="47" t="s">
        <v>668</v>
      </c>
      <c r="D50" s="47" t="s">
        <v>442</v>
      </c>
      <c r="E50" s="46" t="s">
        <v>669</v>
      </c>
      <c r="F50" s="47" t="s">
        <v>670</v>
      </c>
      <c r="G50" s="46" t="s">
        <v>671</v>
      </c>
      <c r="H50" s="47" t="s">
        <v>672</v>
      </c>
      <c r="I50" s="47" t="s">
        <v>673</v>
      </c>
      <c r="J50" s="47" t="s">
        <v>674</v>
      </c>
      <c r="K50" s="47" t="s">
        <v>569</v>
      </c>
      <c r="L50" s="47" t="s">
        <v>675</v>
      </c>
      <c r="M50" s="48" t="str">
        <f>HYPERLINK("https://law.justia.com/cases/south-carolina/court-of-appeals/2012/4943.html","https://law.justia.com/cases/south-carolina/court-of-appeals/2012/4943.html")</f>
        <v>https://law.justia.com/cases/south-carolina/court-of-appeals/2012/4943.html</v>
      </c>
      <c r="N50" s="47" t="s">
        <v>676</v>
      </c>
      <c r="O50" s="47" t="s">
        <v>677</v>
      </c>
      <c r="P50" s="46" t="s">
        <v>413</v>
      </c>
      <c r="Q50" s="46" t="s">
        <v>20</v>
      </c>
    </row>
    <row r="51" spans="1:17" ht="179.75" customHeight="1" x14ac:dyDescent="0.35">
      <c r="A51" s="46" t="s">
        <v>678</v>
      </c>
      <c r="B51" s="46" t="s">
        <v>400</v>
      </c>
      <c r="C51" s="47" t="s">
        <v>516</v>
      </c>
      <c r="D51" s="47" t="s">
        <v>679</v>
      </c>
      <c r="E51" s="46" t="s">
        <v>680</v>
      </c>
      <c r="F51" s="47" t="s">
        <v>681</v>
      </c>
      <c r="G51" s="46" t="s">
        <v>682</v>
      </c>
      <c r="H51" s="47" t="s">
        <v>683</v>
      </c>
      <c r="I51" s="47" t="s">
        <v>684</v>
      </c>
      <c r="J51" s="47" t="s">
        <v>685</v>
      </c>
      <c r="K51" s="47" t="s">
        <v>686</v>
      </c>
      <c r="L51" s="47" t="s">
        <v>687</v>
      </c>
      <c r="M51" s="48" t="str">
        <f>HYPERLINK("https://law.justia.com/cases/utah/supreme-court/2018/20160100.html","https://law.justia.com/cases/utah/supreme-court/2018/20160100.html")</f>
        <v>https://law.justia.com/cases/utah/supreme-court/2018/20160100.html</v>
      </c>
      <c r="N51" s="47" t="s">
        <v>688</v>
      </c>
      <c r="O51" s="47" t="s">
        <v>689</v>
      </c>
      <c r="P51" s="46" t="s">
        <v>413</v>
      </c>
      <c r="Q51" s="46" t="s">
        <v>20</v>
      </c>
    </row>
    <row r="52" spans="1:17" ht="179.75" customHeight="1" x14ac:dyDescent="0.35">
      <c r="A52" s="46" t="s">
        <v>690</v>
      </c>
      <c r="B52" s="46" t="s">
        <v>400</v>
      </c>
      <c r="C52" s="47" t="s">
        <v>691</v>
      </c>
      <c r="D52" s="47" t="s">
        <v>692</v>
      </c>
      <c r="E52" s="46" t="s">
        <v>693</v>
      </c>
      <c r="F52" s="47" t="s">
        <v>694</v>
      </c>
      <c r="G52" s="46" t="s">
        <v>695</v>
      </c>
      <c r="H52" s="47" t="s">
        <v>696</v>
      </c>
      <c r="I52" s="47" t="s">
        <v>697</v>
      </c>
      <c r="J52" s="47" t="s">
        <v>698</v>
      </c>
      <c r="K52" s="47" t="s">
        <v>699</v>
      </c>
      <c r="L52" s="47" t="s">
        <v>700</v>
      </c>
      <c r="M52" s="48" t="str">
        <f>HYPERLINK("https://law.justia.com/cases/idaho/supreme-court-civil/2013/39831.html","https://law.justia.com/cases/idaho/supreme-court-civil/2013/39831.html")</f>
        <v>https://law.justia.com/cases/idaho/supreme-court-civil/2013/39831.html</v>
      </c>
      <c r="N52" s="47" t="s">
        <v>701</v>
      </c>
      <c r="O52" s="47" t="s">
        <v>702</v>
      </c>
      <c r="P52" s="46" t="s">
        <v>413</v>
      </c>
      <c r="Q52" s="46" t="s">
        <v>20</v>
      </c>
    </row>
    <row r="53" spans="1:17" ht="179.75" customHeight="1" x14ac:dyDescent="0.35">
      <c r="A53" s="46" t="s">
        <v>703</v>
      </c>
      <c r="B53" s="46" t="s">
        <v>400</v>
      </c>
      <c r="C53" s="47" t="s">
        <v>704</v>
      </c>
      <c r="D53" s="47" t="s">
        <v>705</v>
      </c>
      <c r="E53" s="46" t="s">
        <v>706</v>
      </c>
      <c r="F53" s="47" t="s">
        <v>707</v>
      </c>
      <c r="G53" s="46" t="s">
        <v>708</v>
      </c>
      <c r="H53" s="47" t="s">
        <v>709</v>
      </c>
      <c r="I53" s="47" t="s">
        <v>710</v>
      </c>
      <c r="J53" s="47" t="s">
        <v>711</v>
      </c>
      <c r="K53" s="47" t="s">
        <v>712</v>
      </c>
      <c r="L53" s="47" t="s">
        <v>713</v>
      </c>
      <c r="M53" s="48" t="str">
        <f>HYPERLINK("https://law.justia.com/cases/colorado/supreme-court/2017/15sc508.html","https://law.justia.com/cases/colorado/supreme-court/2017/15sc508.html")</f>
        <v>https://law.justia.com/cases/colorado/supreme-court/2017/15sc508.html</v>
      </c>
      <c r="N53" s="47" t="s">
        <v>714</v>
      </c>
      <c r="O53" s="47" t="s">
        <v>715</v>
      </c>
      <c r="P53" s="46" t="s">
        <v>413</v>
      </c>
      <c r="Q53" s="46" t="s">
        <v>20</v>
      </c>
    </row>
    <row r="54" spans="1:17" ht="179.75" customHeight="1" x14ac:dyDescent="0.35">
      <c r="A54" s="46" t="s">
        <v>716</v>
      </c>
      <c r="B54" s="46" t="s">
        <v>717</v>
      </c>
      <c r="C54" s="49" t="s">
        <v>718</v>
      </c>
      <c r="D54" s="49" t="s">
        <v>719</v>
      </c>
      <c r="E54" s="46" t="s">
        <v>720</v>
      </c>
      <c r="F54" s="49" t="s">
        <v>721</v>
      </c>
      <c r="G54" s="46" t="s">
        <v>722</v>
      </c>
      <c r="H54" s="49" t="s">
        <v>723</v>
      </c>
      <c r="I54" s="49" t="s">
        <v>724</v>
      </c>
      <c r="J54" s="49" t="s">
        <v>725</v>
      </c>
      <c r="K54" s="49" t="s">
        <v>726</v>
      </c>
      <c r="L54" s="49" t="s">
        <v>727</v>
      </c>
      <c r="M54" s="48" t="str">
        <f>HYPERLINK("https://law.justia.com/cases/delaware/court-of-chancery/2026/c-a-no-2024-0063-cdw.html","https://law.justia.com/cases/delaware/court-of-chancery/2026/c-a-no-2024-0063-cdw.html")</f>
        <v>https://law.justia.com/cases/delaware/court-of-chancery/2026/c-a-no-2024-0063-cdw.html</v>
      </c>
      <c r="N54" s="49" t="s">
        <v>728</v>
      </c>
      <c r="O54" s="49" t="s">
        <v>729</v>
      </c>
      <c r="P54" s="46" t="s">
        <v>413</v>
      </c>
      <c r="Q54" s="49" t="s">
        <v>20</v>
      </c>
    </row>
    <row r="55" spans="1:17" ht="179.75" customHeight="1" x14ac:dyDescent="0.35">
      <c r="A55" s="46" t="s">
        <v>730</v>
      </c>
      <c r="B55" s="46" t="s">
        <v>400</v>
      </c>
      <c r="C55" s="49" t="s">
        <v>731</v>
      </c>
      <c r="D55" s="49" t="s">
        <v>732</v>
      </c>
      <c r="E55" s="46" t="s">
        <v>733</v>
      </c>
      <c r="F55" s="49" t="s">
        <v>734</v>
      </c>
      <c r="G55" s="46" t="s">
        <v>735</v>
      </c>
      <c r="H55" s="49" t="s">
        <v>736</v>
      </c>
      <c r="I55" s="49" t="s">
        <v>737</v>
      </c>
      <c r="J55" s="49" t="s">
        <v>738</v>
      </c>
      <c r="K55" s="49" t="s">
        <v>739</v>
      </c>
      <c r="L55" s="49" t="s">
        <v>740</v>
      </c>
      <c r="M55" s="48" t="str">
        <f>HYPERLINK("https://law.justia.com/cases/wisconsin/supreme-court/2010/48360.html","https://law.justia.com/cases/wisconsin/supreme-court/2010/48360.html")</f>
        <v>https://law.justia.com/cases/wisconsin/supreme-court/2010/48360.html</v>
      </c>
      <c r="N55" s="49" t="s">
        <v>741</v>
      </c>
      <c r="O55" s="49" t="s">
        <v>742</v>
      </c>
      <c r="P55" s="46" t="s">
        <v>413</v>
      </c>
      <c r="Q55" s="49" t="s">
        <v>20</v>
      </c>
    </row>
    <row r="56" spans="1:17" ht="179.75" customHeight="1" x14ac:dyDescent="0.35">
      <c r="A56" s="46" t="s">
        <v>743</v>
      </c>
      <c r="B56" s="46" t="s">
        <v>400</v>
      </c>
      <c r="C56" s="49" t="s">
        <v>516</v>
      </c>
      <c r="D56" s="49" t="s">
        <v>135</v>
      </c>
      <c r="E56" s="46" t="s">
        <v>744</v>
      </c>
      <c r="F56" s="49" t="s">
        <v>745</v>
      </c>
      <c r="G56" s="46" t="s">
        <v>746</v>
      </c>
      <c r="H56" s="49" t="s">
        <v>747</v>
      </c>
      <c r="I56" s="49" t="s">
        <v>748</v>
      </c>
      <c r="J56" s="49" t="s">
        <v>749</v>
      </c>
      <c r="K56" s="49" t="s">
        <v>750</v>
      </c>
      <c r="L56" s="49" t="s">
        <v>751</v>
      </c>
      <c r="M56" s="48" t="str">
        <f>HYPERLINK("https://www.casemine.com/judgement/us/5914e27fadd7b049348f2018/amp","https://www.casemine.com/judgement/us/5914e27fadd7b049348f2018/amp")</f>
        <v>https://www.casemine.com/judgement/us/5914e27fadd7b049348f2018/amp</v>
      </c>
      <c r="N56" s="49" t="s">
        <v>752</v>
      </c>
      <c r="O56" s="49" t="s">
        <v>753</v>
      </c>
      <c r="P56" s="46" t="s">
        <v>413</v>
      </c>
      <c r="Q56" s="49" t="s">
        <v>20</v>
      </c>
    </row>
    <row r="57" spans="1:17" ht="179.75" customHeight="1" x14ac:dyDescent="0.35">
      <c r="A57" s="46" t="s">
        <v>754</v>
      </c>
      <c r="B57" s="46" t="s">
        <v>400</v>
      </c>
      <c r="C57" s="49" t="s">
        <v>755</v>
      </c>
      <c r="D57" s="49" t="s">
        <v>756</v>
      </c>
      <c r="E57" s="46" t="s">
        <v>757</v>
      </c>
      <c r="F57" s="49" t="s">
        <v>758</v>
      </c>
      <c r="G57" s="46" t="s">
        <v>759</v>
      </c>
      <c r="H57" s="49" t="s">
        <v>760</v>
      </c>
      <c r="I57" s="49" t="s">
        <v>761</v>
      </c>
      <c r="J57" s="49" t="s">
        <v>762</v>
      </c>
      <c r="K57" s="49" t="s">
        <v>763</v>
      </c>
      <c r="L57" s="49" t="s">
        <v>764</v>
      </c>
      <c r="M57" s="48" t="str">
        <f>HYPERLINK("https://case-law.vlex.com/vid/laurel-rd-homeowners-ass-893043694","https://case-law.vlex.com/vid/laurel-rd-homeowners-ass-893043694")</f>
        <v>https://case-law.vlex.com/vid/laurel-rd-homeowners-ass-893043694</v>
      </c>
      <c r="N57" s="49" t="s">
        <v>765</v>
      </c>
      <c r="O57" s="49" t="s">
        <v>766</v>
      </c>
      <c r="P57" s="46" t="s">
        <v>413</v>
      </c>
      <c r="Q57" s="49" t="s">
        <v>20</v>
      </c>
    </row>
    <row r="58" spans="1:17" ht="179.75" customHeight="1" x14ac:dyDescent="0.35">
      <c r="A58" s="46" t="s">
        <v>767</v>
      </c>
      <c r="B58" s="46" t="s">
        <v>400</v>
      </c>
      <c r="C58" s="49" t="s">
        <v>768</v>
      </c>
      <c r="D58" s="49" t="s">
        <v>504</v>
      </c>
      <c r="E58" s="46" t="s">
        <v>769</v>
      </c>
      <c r="F58" s="49" t="s">
        <v>770</v>
      </c>
      <c r="G58" s="46" t="s">
        <v>771</v>
      </c>
      <c r="H58" s="49" t="s">
        <v>772</v>
      </c>
      <c r="I58" s="49" t="s">
        <v>773</v>
      </c>
      <c r="J58" s="49" t="s">
        <v>774</v>
      </c>
      <c r="K58" s="49" t="s">
        <v>663</v>
      </c>
      <c r="L58" s="49" t="s">
        <v>775</v>
      </c>
      <c r="M58" s="48" t="str">
        <f>HYPERLINK("https://law.justia.com/cases/tennessee/court-of-appeals/2022/e2021-00825-coa-r3-cv.html","https://law.justia.com/cases/tennessee/court-of-appeals/2022/e2021-00825-coa-r3-cv.html")</f>
        <v>https://law.justia.com/cases/tennessee/court-of-appeals/2022/e2021-00825-coa-r3-cv.html</v>
      </c>
      <c r="N58" s="49" t="s">
        <v>776</v>
      </c>
      <c r="O58" s="49" t="s">
        <v>777</v>
      </c>
      <c r="P58" s="46" t="s">
        <v>413</v>
      </c>
      <c r="Q58" s="49" t="s">
        <v>20</v>
      </c>
    </row>
    <row r="59" spans="1:17" ht="215.75" customHeight="1" x14ac:dyDescent="0.35">
      <c r="A59" s="46" t="s">
        <v>778</v>
      </c>
      <c r="B59" s="46" t="s">
        <v>400</v>
      </c>
      <c r="C59" s="49" t="s">
        <v>779</v>
      </c>
      <c r="D59" s="49" t="s">
        <v>122</v>
      </c>
      <c r="E59" s="46" t="s">
        <v>780</v>
      </c>
      <c r="F59" s="49" t="s">
        <v>781</v>
      </c>
      <c r="G59" s="46" t="s">
        <v>782</v>
      </c>
      <c r="H59" s="49" t="s">
        <v>783</v>
      </c>
      <c r="I59" s="49" t="s">
        <v>784</v>
      </c>
      <c r="J59" s="49" t="s">
        <v>785</v>
      </c>
      <c r="K59" s="49" t="s">
        <v>786</v>
      </c>
      <c r="L59" s="49" t="s">
        <v>787</v>
      </c>
      <c r="M59" s="48" t="str">
        <f>HYPERLINK("https://caselaw.findlaw.com/court/crt-app-tex-eas/2149231.html","https://caselaw.findlaw.com/court/crt-app-tex-eas/2149231.html")</f>
        <v>https://caselaw.findlaw.com/court/crt-app-tex-eas/2149231.html</v>
      </c>
      <c r="N59" s="49" t="s">
        <v>788</v>
      </c>
      <c r="O59" s="49" t="s">
        <v>789</v>
      </c>
      <c r="P59" s="46" t="s">
        <v>413</v>
      </c>
      <c r="Q59" s="49" t="s">
        <v>20</v>
      </c>
    </row>
    <row r="60" spans="1:17" ht="179.75" customHeight="1" x14ac:dyDescent="0.35">
      <c r="A60" s="46" t="s">
        <v>790</v>
      </c>
      <c r="B60" s="46" t="s">
        <v>400</v>
      </c>
      <c r="C60" s="49" t="s">
        <v>791</v>
      </c>
      <c r="D60" s="49" t="s">
        <v>792</v>
      </c>
      <c r="E60" s="46" t="s">
        <v>793</v>
      </c>
      <c r="F60" s="49" t="s">
        <v>794</v>
      </c>
      <c r="G60" s="46" t="s">
        <v>795</v>
      </c>
      <c r="H60" s="49" t="s">
        <v>796</v>
      </c>
      <c r="I60" s="49" t="s">
        <v>797</v>
      </c>
      <c r="J60" s="49" t="s">
        <v>798</v>
      </c>
      <c r="K60" s="49" t="s">
        <v>799</v>
      </c>
      <c r="L60" s="49" t="s">
        <v>800</v>
      </c>
      <c r="M60" s="48" t="str">
        <f>HYPERLINK("https://law.justia.com/cases/kentucky/court-of-appeals/2017/2015-ca-001779-mr.html","https://law.justia.com/cases/kentucky/court-of-appeals/2017/2015-ca-001779-mr.html")</f>
        <v>https://law.justia.com/cases/kentucky/court-of-appeals/2017/2015-ca-001779-mr.html</v>
      </c>
      <c r="N60" s="49" t="s">
        <v>801</v>
      </c>
      <c r="O60" s="49" t="s">
        <v>802</v>
      </c>
      <c r="P60" s="46" t="s">
        <v>413</v>
      </c>
      <c r="Q60" s="49" t="s">
        <v>20</v>
      </c>
    </row>
    <row r="61" spans="1:17" ht="179.75" customHeight="1" x14ac:dyDescent="0.35">
      <c r="A61" s="46" t="s">
        <v>803</v>
      </c>
      <c r="B61" s="46" t="s">
        <v>400</v>
      </c>
      <c r="C61" s="49" t="s">
        <v>804</v>
      </c>
      <c r="D61" s="49" t="s">
        <v>109</v>
      </c>
      <c r="E61" s="46" t="s">
        <v>805</v>
      </c>
      <c r="F61" s="49" t="s">
        <v>806</v>
      </c>
      <c r="G61" s="46" t="s">
        <v>807</v>
      </c>
      <c r="H61" s="49" t="s">
        <v>808</v>
      </c>
      <c r="I61" s="49" t="s">
        <v>797</v>
      </c>
      <c r="J61" s="49" t="s">
        <v>809</v>
      </c>
      <c r="K61" s="49" t="s">
        <v>810</v>
      </c>
      <c r="L61" s="49" t="s">
        <v>811</v>
      </c>
      <c r="M61" s="48" t="str">
        <f>HYPERLINK("https://law.justia.com/cases/arizona/court-of-appeals-division-one-unpublished/2025/1-ca-cv-24-0445.html","https://law.justia.com/cases/arizona/court-of-appeals-division-one-unpublished/2025/1-ca-cv-24-0445.html")</f>
        <v>https://law.justia.com/cases/arizona/court-of-appeals-division-one-unpublished/2025/1-ca-cv-24-0445.html</v>
      </c>
      <c r="N61" s="49" t="s">
        <v>812</v>
      </c>
      <c r="O61" s="49" t="s">
        <v>813</v>
      </c>
      <c r="P61" s="46" t="s">
        <v>413</v>
      </c>
      <c r="Q61" s="49" t="s">
        <v>20</v>
      </c>
    </row>
    <row r="62" spans="1:17" ht="179.75" customHeight="1" x14ac:dyDescent="0.35">
      <c r="A62" s="46" t="s">
        <v>814</v>
      </c>
      <c r="B62" s="46" t="s">
        <v>400</v>
      </c>
      <c r="C62" s="47" t="s">
        <v>815</v>
      </c>
      <c r="D62" s="47" t="s">
        <v>504</v>
      </c>
      <c r="E62" s="46" t="s">
        <v>816</v>
      </c>
      <c r="F62" s="47" t="s">
        <v>817</v>
      </c>
      <c r="G62" s="46" t="s">
        <v>818</v>
      </c>
      <c r="H62" s="47" t="s">
        <v>819</v>
      </c>
      <c r="I62" s="47" t="s">
        <v>820</v>
      </c>
      <c r="J62" s="47" t="s">
        <v>821</v>
      </c>
      <c r="K62" s="47" t="s">
        <v>663</v>
      </c>
      <c r="L62" s="47" t="s">
        <v>822</v>
      </c>
      <c r="M62" s="48" t="str">
        <f>HYPERLINK("https://law.justia.com/cases/tennessee/court-of-appeals/2016/e2016-00140-coa-r3-cv.html","https://law.justia.com/cases/tennessee/court-of-appeals/2016/e2016-00140-coa-r3-cv.html")</f>
        <v>https://law.justia.com/cases/tennessee/court-of-appeals/2016/e2016-00140-coa-r3-cv.html</v>
      </c>
      <c r="N62" s="47" t="s">
        <v>823</v>
      </c>
      <c r="O62" s="47" t="s">
        <v>824</v>
      </c>
      <c r="P62" s="46" t="s">
        <v>413</v>
      </c>
      <c r="Q62" s="46" t="s">
        <v>20</v>
      </c>
    </row>
    <row r="63" spans="1:17" ht="179.75" customHeight="1" x14ac:dyDescent="0.35">
      <c r="A63" s="46" t="s">
        <v>825</v>
      </c>
      <c r="B63" s="46" t="s">
        <v>400</v>
      </c>
      <c r="C63" s="47" t="s">
        <v>826</v>
      </c>
      <c r="D63" s="47" t="s">
        <v>504</v>
      </c>
      <c r="E63" s="46" t="s">
        <v>827</v>
      </c>
      <c r="F63" s="47" t="s">
        <v>828</v>
      </c>
      <c r="G63" s="46" t="s">
        <v>829</v>
      </c>
      <c r="H63" s="47" t="s">
        <v>830</v>
      </c>
      <c r="I63" s="47" t="s">
        <v>831</v>
      </c>
      <c r="J63" s="47" t="s">
        <v>832</v>
      </c>
      <c r="K63" s="47" t="s">
        <v>663</v>
      </c>
      <c r="L63" s="47" t="s">
        <v>833</v>
      </c>
      <c r="M63" s="48" t="str">
        <f>HYPERLINK("https://law.justia.com/cases/tennessee/court-of-appeals/2024/m2022-01323-coa-r3-cv.html","https://law.justia.com/cases/tennessee/court-of-appeals/2024/m2022-01323-coa-r3-cv.html")</f>
        <v>https://law.justia.com/cases/tennessee/court-of-appeals/2024/m2022-01323-coa-r3-cv.html</v>
      </c>
      <c r="N63" s="47" t="s">
        <v>834</v>
      </c>
      <c r="O63" s="47" t="s">
        <v>835</v>
      </c>
      <c r="P63" s="46" t="s">
        <v>413</v>
      </c>
      <c r="Q63" s="46" t="s">
        <v>20</v>
      </c>
    </row>
    <row r="64" spans="1:17" ht="179.75" customHeight="1" x14ac:dyDescent="0.35">
      <c r="A64" s="46" t="s">
        <v>836</v>
      </c>
      <c r="B64" s="46" t="s">
        <v>400</v>
      </c>
      <c r="C64" s="47" t="s">
        <v>837</v>
      </c>
      <c r="D64" s="47" t="s">
        <v>838</v>
      </c>
      <c r="E64" s="46" t="s">
        <v>839</v>
      </c>
      <c r="F64" s="47" t="s">
        <v>840</v>
      </c>
      <c r="G64" s="46" t="s">
        <v>841</v>
      </c>
      <c r="H64" s="47" t="s">
        <v>842</v>
      </c>
      <c r="I64" s="47" t="s">
        <v>797</v>
      </c>
      <c r="J64" s="47" t="s">
        <v>843</v>
      </c>
      <c r="K64" s="47" t="s">
        <v>844</v>
      </c>
      <c r="L64" s="47" t="s">
        <v>845</v>
      </c>
      <c r="M64" s="48" t="str">
        <f>HYPERLINK("https://law.justia.com/cases/alaska/supreme-court/2024/s-18521.html","https://law.justia.com/cases/alaska/supreme-court/2024/s-18521.html")</f>
        <v>https://law.justia.com/cases/alaska/supreme-court/2024/s-18521.html</v>
      </c>
      <c r="N64" s="47" t="s">
        <v>846</v>
      </c>
      <c r="O64" s="47" t="s">
        <v>847</v>
      </c>
      <c r="P64" s="46" t="s">
        <v>413</v>
      </c>
      <c r="Q64" s="46" t="s">
        <v>20</v>
      </c>
    </row>
    <row r="65" spans="1:17" ht="179.75" customHeight="1" x14ac:dyDescent="0.35">
      <c r="A65" s="46" t="s">
        <v>848</v>
      </c>
      <c r="B65" s="46" t="s">
        <v>400</v>
      </c>
      <c r="C65" s="47" t="s">
        <v>849</v>
      </c>
      <c r="D65" s="47" t="s">
        <v>850</v>
      </c>
      <c r="E65" s="46" t="s">
        <v>851</v>
      </c>
      <c r="F65" s="47" t="s">
        <v>852</v>
      </c>
      <c r="G65" s="46" t="s">
        <v>853</v>
      </c>
      <c r="H65" s="47" t="s">
        <v>854</v>
      </c>
      <c r="I65" s="47" t="s">
        <v>855</v>
      </c>
      <c r="J65" s="47" t="s">
        <v>856</v>
      </c>
      <c r="K65" s="47" t="s">
        <v>857</v>
      </c>
      <c r="L65" s="47" t="s">
        <v>858</v>
      </c>
      <c r="M65" s="48" t="str">
        <f>HYPERLINK("https://law.justia.com/cases/georgia/court-of-appeals/2025/a25a0221.html","https://law.justia.com/cases/georgia/court-of-appeals/2025/a25a0221.html")</f>
        <v>https://law.justia.com/cases/georgia/court-of-appeals/2025/a25a0221.html</v>
      </c>
      <c r="N65" s="47" t="s">
        <v>859</v>
      </c>
      <c r="O65" s="47" t="s">
        <v>860</v>
      </c>
      <c r="P65" s="46" t="s">
        <v>413</v>
      </c>
      <c r="Q65" s="46" t="s">
        <v>20</v>
      </c>
    </row>
    <row r="66" spans="1:17" ht="179.75" customHeight="1" x14ac:dyDescent="0.35">
      <c r="A66" s="46" t="s">
        <v>861</v>
      </c>
      <c r="B66" s="46" t="s">
        <v>400</v>
      </c>
      <c r="C66" s="47" t="s">
        <v>862</v>
      </c>
      <c r="D66" s="47" t="s">
        <v>504</v>
      </c>
      <c r="E66" s="46" t="s">
        <v>863</v>
      </c>
      <c r="F66" s="47" t="s">
        <v>864</v>
      </c>
      <c r="G66" s="46" t="s">
        <v>865</v>
      </c>
      <c r="H66" s="47" t="s">
        <v>866</v>
      </c>
      <c r="I66" s="47" t="s">
        <v>867</v>
      </c>
      <c r="J66" s="47" t="s">
        <v>868</v>
      </c>
      <c r="K66" s="47" t="s">
        <v>663</v>
      </c>
      <c r="L66" s="47" t="s">
        <v>869</v>
      </c>
      <c r="M66" s="48" t="str">
        <f>HYPERLINK("https://law.justia.com/cases/tennessee/court-of-appeals/2018/m2016-01363-coa-r3-cv.html","https://law.justia.com/cases/tennessee/court-of-appeals/2018/m2016-01363-coa-r3-cv.html")</f>
        <v>https://law.justia.com/cases/tennessee/court-of-appeals/2018/m2016-01363-coa-r3-cv.html</v>
      </c>
      <c r="N66" s="47" t="s">
        <v>870</v>
      </c>
      <c r="O66" s="47" t="s">
        <v>871</v>
      </c>
      <c r="P66" s="46" t="s">
        <v>413</v>
      </c>
      <c r="Q66" s="46" t="s">
        <v>20</v>
      </c>
    </row>
    <row r="67" spans="1:17" ht="179.75" customHeight="1" x14ac:dyDescent="0.35">
      <c r="A67" s="46" t="s">
        <v>872</v>
      </c>
      <c r="B67" s="46" t="s">
        <v>400</v>
      </c>
      <c r="C67" s="47" t="s">
        <v>873</v>
      </c>
      <c r="D67" s="47" t="s">
        <v>504</v>
      </c>
      <c r="E67" s="46" t="s">
        <v>874</v>
      </c>
      <c r="F67" s="47" t="s">
        <v>875</v>
      </c>
      <c r="G67" s="46" t="s">
        <v>876</v>
      </c>
      <c r="H67" s="47" t="s">
        <v>877</v>
      </c>
      <c r="I67" s="47" t="s">
        <v>878</v>
      </c>
      <c r="J67" s="47" t="s">
        <v>879</v>
      </c>
      <c r="K67" s="47" t="s">
        <v>663</v>
      </c>
      <c r="L67" s="47" t="s">
        <v>880</v>
      </c>
      <c r="M67" s="48" t="str">
        <f>HYPERLINK("https://law.justia.com/cases/tennessee/court-of-appeals/2017/w2016-00721-coa-r3-cv.html","https://law.justia.com/cases/tennessee/court-of-appeals/2017/w2016-00721-coa-r3-cv.html")</f>
        <v>https://law.justia.com/cases/tennessee/court-of-appeals/2017/w2016-00721-coa-r3-cv.html</v>
      </c>
      <c r="N67" s="47" t="s">
        <v>881</v>
      </c>
      <c r="O67" s="47" t="s">
        <v>882</v>
      </c>
      <c r="P67" s="46" t="s">
        <v>413</v>
      </c>
      <c r="Q67" s="46" t="s">
        <v>20</v>
      </c>
    </row>
    <row r="68" spans="1:17" ht="179.75" customHeight="1" x14ac:dyDescent="0.35">
      <c r="A68" s="46" t="s">
        <v>883</v>
      </c>
      <c r="B68" s="46" t="s">
        <v>400</v>
      </c>
      <c r="C68" s="47" t="s">
        <v>884</v>
      </c>
      <c r="D68" s="47" t="s">
        <v>183</v>
      </c>
      <c r="E68" s="46" t="s">
        <v>885</v>
      </c>
      <c r="F68" s="47" t="s">
        <v>886</v>
      </c>
      <c r="G68" s="46" t="s">
        <v>887</v>
      </c>
      <c r="H68" s="47" t="s">
        <v>888</v>
      </c>
      <c r="I68" s="47" t="s">
        <v>889</v>
      </c>
      <c r="J68" s="47" t="s">
        <v>890</v>
      </c>
      <c r="K68" s="47" t="s">
        <v>891</v>
      </c>
      <c r="L68" s="47" t="s">
        <v>892</v>
      </c>
      <c r="M68" s="48" t="str">
        <f>HYPERLINK("https://law.justia.com/cases/ohio/ninth-district-court-of-appeals/2024/2023ca0064-m.html","https://law.justia.com/cases/ohio/ninth-district-court-of-appeals/2024/2023ca0064-m.html")</f>
        <v>https://law.justia.com/cases/ohio/ninth-district-court-of-appeals/2024/2023ca0064-m.html</v>
      </c>
      <c r="N68" s="47" t="s">
        <v>893</v>
      </c>
      <c r="O68" s="47" t="s">
        <v>894</v>
      </c>
      <c r="P68" s="46" t="s">
        <v>413</v>
      </c>
      <c r="Q68" s="46" t="s">
        <v>20</v>
      </c>
    </row>
    <row r="69" spans="1:17" ht="179.75" customHeight="1" x14ac:dyDescent="0.35">
      <c r="A69" s="46" t="s">
        <v>895</v>
      </c>
      <c r="B69" s="46" t="s">
        <v>400</v>
      </c>
      <c r="C69" s="47" t="s">
        <v>896</v>
      </c>
      <c r="D69" s="47" t="s">
        <v>122</v>
      </c>
      <c r="E69" s="46" t="s">
        <v>897</v>
      </c>
      <c r="F69" s="47" t="s">
        <v>898</v>
      </c>
      <c r="G69" s="46" t="s">
        <v>899</v>
      </c>
      <c r="H69" s="47" t="s">
        <v>900</v>
      </c>
      <c r="I69" s="47" t="s">
        <v>797</v>
      </c>
      <c r="J69" s="47" t="s">
        <v>901</v>
      </c>
      <c r="K69" s="47" t="s">
        <v>902</v>
      </c>
      <c r="L69" s="47" t="s">
        <v>903</v>
      </c>
      <c r="M69" s="48" t="str">
        <f>HYPERLINK("https://law.justia.com/cases/texas/eighth-court-of-appeals/2023/08-22-00134-cv.html","https://law.justia.com/cases/texas/eighth-court-of-appeals/2023/08-22-00134-cv.html")</f>
        <v>https://law.justia.com/cases/texas/eighth-court-of-appeals/2023/08-22-00134-cv.html</v>
      </c>
      <c r="N69" s="47" t="s">
        <v>904</v>
      </c>
      <c r="O69" s="47" t="s">
        <v>905</v>
      </c>
      <c r="P69" s="46" t="s">
        <v>413</v>
      </c>
      <c r="Q69" s="46" t="s">
        <v>20</v>
      </c>
    </row>
    <row r="70" spans="1:17" ht="179.75" customHeight="1" x14ac:dyDescent="0.35">
      <c r="A70" s="46" t="s">
        <v>906</v>
      </c>
      <c r="B70" s="46" t="s">
        <v>400</v>
      </c>
      <c r="C70" s="47" t="s">
        <v>907</v>
      </c>
      <c r="D70" s="47" t="s">
        <v>517</v>
      </c>
      <c r="E70" s="46" t="s">
        <v>908</v>
      </c>
      <c r="F70" s="47" t="s">
        <v>909</v>
      </c>
      <c r="G70" s="46" t="s">
        <v>910</v>
      </c>
      <c r="H70" s="47" t="s">
        <v>911</v>
      </c>
      <c r="I70" s="47" t="s">
        <v>912</v>
      </c>
      <c r="J70" s="47" t="s">
        <v>913</v>
      </c>
      <c r="K70" s="47" t="s">
        <v>914</v>
      </c>
      <c r="L70" s="47" t="s">
        <v>915</v>
      </c>
      <c r="M70" s="48" t="str">
        <f>HYPERLINK("https://law.justia.com/cases/north-carolina/court-of-appeals/2020/19-379.html","https://law.justia.com/cases/north-carolina/court-of-appeals/2020/19-379.html")</f>
        <v>https://law.justia.com/cases/north-carolina/court-of-appeals/2020/19-379.html</v>
      </c>
      <c r="N70" s="47" t="s">
        <v>916</v>
      </c>
      <c r="O70" s="47" t="s">
        <v>917</v>
      </c>
      <c r="P70" s="46" t="s">
        <v>413</v>
      </c>
      <c r="Q70" s="46" t="s">
        <v>20</v>
      </c>
    </row>
    <row r="71" spans="1:17" ht="179.75" customHeight="1" x14ac:dyDescent="0.35">
      <c r="A71" s="46" t="s">
        <v>918</v>
      </c>
      <c r="B71" s="46" t="s">
        <v>400</v>
      </c>
      <c r="C71" s="47" t="s">
        <v>919</v>
      </c>
      <c r="D71" s="47" t="s">
        <v>429</v>
      </c>
      <c r="E71" s="46" t="s">
        <v>920</v>
      </c>
      <c r="F71" s="47" t="s">
        <v>921</v>
      </c>
      <c r="G71" s="46" t="s">
        <v>922</v>
      </c>
      <c r="H71" s="47" t="s">
        <v>923</v>
      </c>
      <c r="I71" s="47" t="s">
        <v>797</v>
      </c>
      <c r="J71" s="47" t="s">
        <v>924</v>
      </c>
      <c r="K71" s="47" t="s">
        <v>436</v>
      </c>
      <c r="L71" s="47" t="s">
        <v>925</v>
      </c>
      <c r="M71" s="48" t="str">
        <f>HYPERLINK("https://law.justia.com/cases/indiana/court-of-appeals/2022/21a-pl-02021.html","https://law.justia.com/cases/indiana/court-of-appeals/2022/21a-pl-02021.html")</f>
        <v>https://law.justia.com/cases/indiana/court-of-appeals/2022/21a-pl-02021.html</v>
      </c>
      <c r="N71" s="47" t="s">
        <v>926</v>
      </c>
      <c r="O71" s="47" t="s">
        <v>927</v>
      </c>
      <c r="P71" s="46" t="s">
        <v>413</v>
      </c>
      <c r="Q71" s="46" t="s">
        <v>20</v>
      </c>
    </row>
    <row r="72" spans="1:17" ht="179.75" customHeight="1" x14ac:dyDescent="0.35">
      <c r="A72" s="46" t="s">
        <v>928</v>
      </c>
      <c r="B72" s="46" t="s">
        <v>400</v>
      </c>
      <c r="C72" s="47" t="s">
        <v>516</v>
      </c>
      <c r="D72" s="47" t="s">
        <v>705</v>
      </c>
      <c r="E72" s="46" t="s">
        <v>929</v>
      </c>
      <c r="F72" s="47" t="s">
        <v>930</v>
      </c>
      <c r="G72" s="46" t="s">
        <v>931</v>
      </c>
      <c r="H72" s="47" t="s">
        <v>932</v>
      </c>
      <c r="I72" s="47" t="s">
        <v>933</v>
      </c>
      <c r="J72" s="47" t="s">
        <v>934</v>
      </c>
      <c r="K72" s="47" t="s">
        <v>712</v>
      </c>
      <c r="L72" s="47" t="s">
        <v>935</v>
      </c>
      <c r="M72" s="48" t="str">
        <f>HYPERLINK("https://law.justia.com/cases/colorado/supreme-court/2016/14sc77.html","https://law.justia.com/cases/colorado/supreme-court/2016/14sc77.html")</f>
        <v>https://law.justia.com/cases/colorado/supreme-court/2016/14sc77.html</v>
      </c>
      <c r="N72" s="47" t="s">
        <v>936</v>
      </c>
      <c r="O72" s="47" t="s">
        <v>937</v>
      </c>
      <c r="P72" s="46" t="s">
        <v>413</v>
      </c>
      <c r="Q72" s="46" t="s">
        <v>20</v>
      </c>
    </row>
    <row r="73" spans="1:17" ht="179.75" customHeight="1" x14ac:dyDescent="0.35">
      <c r="A73" s="46" t="s">
        <v>938</v>
      </c>
      <c r="B73" s="46" t="s">
        <v>400</v>
      </c>
      <c r="C73" s="47" t="s">
        <v>939</v>
      </c>
      <c r="D73" s="47" t="s">
        <v>679</v>
      </c>
      <c r="E73" s="46" t="s">
        <v>940</v>
      </c>
      <c r="F73" s="47" t="s">
        <v>941</v>
      </c>
      <c r="G73" s="46" t="s">
        <v>942</v>
      </c>
      <c r="H73" s="47" t="s">
        <v>943</v>
      </c>
      <c r="I73" s="47" t="s">
        <v>944</v>
      </c>
      <c r="J73" s="47" t="s">
        <v>945</v>
      </c>
      <c r="K73" s="47" t="s">
        <v>946</v>
      </c>
      <c r="L73" s="47" t="s">
        <v>947</v>
      </c>
      <c r="M73" s="48" t="str">
        <f>HYPERLINK("https://law.justia.com/cases/federal/appellate-courts/ca10/18-4065/18-4065-2019-06-06.html","https://law.justia.com/cases/federal/appellate-courts/ca10/18-4065/18-4065-2019-06-06.html")</f>
        <v>https://law.justia.com/cases/federal/appellate-courts/ca10/18-4065/18-4065-2019-06-06.html</v>
      </c>
      <c r="N73" s="47" t="s">
        <v>948</v>
      </c>
      <c r="O73" s="47" t="s">
        <v>949</v>
      </c>
      <c r="P73" s="46" t="s">
        <v>413</v>
      </c>
      <c r="Q73" s="46" t="s">
        <v>20</v>
      </c>
    </row>
    <row r="74" spans="1:17" ht="179.75" customHeight="1" x14ac:dyDescent="0.35">
      <c r="A74" s="46" t="s">
        <v>950</v>
      </c>
      <c r="B74" s="46" t="s">
        <v>400</v>
      </c>
      <c r="C74" s="47" t="s">
        <v>951</v>
      </c>
      <c r="D74" s="47" t="s">
        <v>122</v>
      </c>
      <c r="E74" s="46" t="s">
        <v>952</v>
      </c>
      <c r="F74" s="47" t="s">
        <v>953</v>
      </c>
      <c r="G74" s="46" t="s">
        <v>954</v>
      </c>
      <c r="H74" s="47" t="s">
        <v>955</v>
      </c>
      <c r="I74" s="47" t="s">
        <v>956</v>
      </c>
      <c r="J74" s="47" t="s">
        <v>957</v>
      </c>
      <c r="K74" s="47" t="s">
        <v>958</v>
      </c>
      <c r="L74" s="47" t="s">
        <v>959</v>
      </c>
      <c r="M74" s="48" t="str">
        <f>HYPERLINK("https://law.justia.com/cases/texas/thirteenth-court-of-appeals/2025/13-24-00051-cv.html","https://law.justia.com/cases/texas/thirteenth-court-of-appeals/2025/13-24-00051-cv.html")</f>
        <v>https://law.justia.com/cases/texas/thirteenth-court-of-appeals/2025/13-24-00051-cv.html</v>
      </c>
      <c r="N74" s="47" t="s">
        <v>960</v>
      </c>
      <c r="O74" s="47" t="s">
        <v>961</v>
      </c>
      <c r="P74" s="46" t="s">
        <v>413</v>
      </c>
      <c r="Q74" s="46" t="s">
        <v>20</v>
      </c>
    </row>
    <row r="75" spans="1:17" ht="179.75" customHeight="1" x14ac:dyDescent="0.35">
      <c r="A75" s="46" t="s">
        <v>962</v>
      </c>
      <c r="B75" s="46" t="s">
        <v>717</v>
      </c>
      <c r="C75" s="47" t="s">
        <v>963</v>
      </c>
      <c r="D75" s="47" t="s">
        <v>309</v>
      </c>
      <c r="E75" s="46" t="s">
        <v>964</v>
      </c>
      <c r="F75" s="47" t="s">
        <v>965</v>
      </c>
      <c r="G75" s="46" t="s">
        <v>966</v>
      </c>
      <c r="H75" s="47" t="s">
        <v>967</v>
      </c>
      <c r="I75" s="47" t="s">
        <v>968</v>
      </c>
      <c r="J75" s="47" t="s">
        <v>969</v>
      </c>
      <c r="K75" s="47" t="s">
        <v>970</v>
      </c>
      <c r="L75" s="47" t="s">
        <v>971</v>
      </c>
      <c r="M75" s="48" t="str">
        <f>HYPERLINK("https://law.justia.com/cases/nevada/supreme-court/2025/87942.html","https://law.justia.com/cases/nevada/supreme-court/2025/87942.html")</f>
        <v>https://law.justia.com/cases/nevada/supreme-court/2025/87942.html</v>
      </c>
      <c r="N75" s="47" t="s">
        <v>972</v>
      </c>
      <c r="O75" s="47" t="s">
        <v>973</v>
      </c>
      <c r="P75" s="46" t="s">
        <v>413</v>
      </c>
      <c r="Q75" s="46" t="s">
        <v>20</v>
      </c>
    </row>
    <row r="76" spans="1:17" ht="179.75" customHeight="1" x14ac:dyDescent="0.35">
      <c r="A76" s="46" t="s">
        <v>974</v>
      </c>
      <c r="B76" s="46" t="s">
        <v>400</v>
      </c>
      <c r="C76" s="47" t="s">
        <v>975</v>
      </c>
      <c r="D76" s="47" t="s">
        <v>402</v>
      </c>
      <c r="E76" s="46" t="s">
        <v>976</v>
      </c>
      <c r="F76" s="47" t="s">
        <v>977</v>
      </c>
      <c r="G76" s="46" t="s">
        <v>978</v>
      </c>
      <c r="H76" s="47" t="s">
        <v>979</v>
      </c>
      <c r="I76" s="47" t="s">
        <v>797</v>
      </c>
      <c r="J76" s="47" t="s">
        <v>980</v>
      </c>
      <c r="K76" s="47" t="s">
        <v>981</v>
      </c>
      <c r="L76" s="47" t="s">
        <v>982</v>
      </c>
      <c r="M76" s="48" t="str">
        <f>HYPERLINK("https://law.justia.com/cases/oregon/court-of-appeals/2026/a182014.html","https://law.justia.com/cases/oregon/court-of-appeals/2026/a182014.html")</f>
        <v>https://law.justia.com/cases/oregon/court-of-appeals/2026/a182014.html</v>
      </c>
      <c r="N76" s="47" t="s">
        <v>983</v>
      </c>
      <c r="O76" s="47" t="s">
        <v>984</v>
      </c>
      <c r="P76" s="46" t="s">
        <v>413</v>
      </c>
      <c r="Q76" s="46" t="s">
        <v>20</v>
      </c>
    </row>
    <row r="77" spans="1:17" ht="179.75" customHeight="1" x14ac:dyDescent="0.35">
      <c r="A77" s="46" t="s">
        <v>985</v>
      </c>
      <c r="B77" s="46" t="s">
        <v>400</v>
      </c>
      <c r="C77" s="47" t="s">
        <v>986</v>
      </c>
      <c r="D77" s="47" t="s">
        <v>517</v>
      </c>
      <c r="E77" s="46" t="s">
        <v>987</v>
      </c>
      <c r="F77" s="47" t="s">
        <v>988</v>
      </c>
      <c r="G77" s="46" t="s">
        <v>989</v>
      </c>
      <c r="H77" s="47" t="s">
        <v>990</v>
      </c>
      <c r="I77" s="47" t="s">
        <v>991</v>
      </c>
      <c r="J77" s="47" t="s">
        <v>992</v>
      </c>
      <c r="K77" s="47" t="s">
        <v>914</v>
      </c>
      <c r="L77" s="47" t="s">
        <v>993</v>
      </c>
      <c r="M77" s="48" t="str">
        <f>HYPERLINK("https://law.justia.com/cases/north-carolina/court-of-appeals/2026/25-691.html","https://law.justia.com/cases/north-carolina/court-of-appeals/2026/25-691.html")</f>
        <v>https://law.justia.com/cases/north-carolina/court-of-appeals/2026/25-691.html</v>
      </c>
      <c r="N77" s="47" t="s">
        <v>994</v>
      </c>
      <c r="O77" s="47" t="s">
        <v>995</v>
      </c>
      <c r="P77" s="46" t="s">
        <v>413</v>
      </c>
      <c r="Q77" s="46" t="s">
        <v>20</v>
      </c>
    </row>
    <row r="78" spans="1:17" ht="179.75" customHeight="1" x14ac:dyDescent="0.35">
      <c r="A78" s="46" t="s">
        <v>996</v>
      </c>
      <c r="B78" s="46" t="s">
        <v>400</v>
      </c>
      <c r="C78" s="47" t="s">
        <v>997</v>
      </c>
      <c r="D78" s="47" t="s">
        <v>122</v>
      </c>
      <c r="E78" s="46" t="s">
        <v>998</v>
      </c>
      <c r="F78" s="47" t="s">
        <v>999</v>
      </c>
      <c r="G78" s="46" t="s">
        <v>1000</v>
      </c>
      <c r="H78" s="47" t="s">
        <v>1001</v>
      </c>
      <c r="I78" s="47" t="s">
        <v>797</v>
      </c>
      <c r="J78" s="47" t="s">
        <v>1002</v>
      </c>
      <c r="K78" s="47" t="s">
        <v>1003</v>
      </c>
      <c r="L78" s="47" t="s">
        <v>1004</v>
      </c>
      <c r="M78" s="48" t="str">
        <f>HYPERLINK("https://law.justia.com/cases/texas/fourth-court-of-appeals/2026/04-24-00699-cv.html","https://law.justia.com/cases/texas/fourth-court-of-appeals/2026/04-24-00699-cv.html")</f>
        <v>https://law.justia.com/cases/texas/fourth-court-of-appeals/2026/04-24-00699-cv.html</v>
      </c>
      <c r="N78" s="47" t="s">
        <v>1005</v>
      </c>
      <c r="O78" s="47" t="s">
        <v>1006</v>
      </c>
      <c r="P78" s="46" t="s">
        <v>413</v>
      </c>
      <c r="Q78" s="46" t="s">
        <v>20</v>
      </c>
    </row>
    <row r="79" spans="1:17" ht="179.75" customHeight="1" x14ac:dyDescent="0.35">
      <c r="A79" s="46" t="s">
        <v>1007</v>
      </c>
      <c r="B79" s="46" t="s">
        <v>400</v>
      </c>
      <c r="C79" s="47" t="s">
        <v>1008</v>
      </c>
      <c r="D79" s="47" t="s">
        <v>135</v>
      </c>
      <c r="E79" s="46" t="s">
        <v>1009</v>
      </c>
      <c r="F79" s="47" t="s">
        <v>1010</v>
      </c>
      <c r="G79" s="46" t="s">
        <v>1011</v>
      </c>
      <c r="H79" s="47" t="s">
        <v>1012</v>
      </c>
      <c r="I79" s="47" t="s">
        <v>1013</v>
      </c>
      <c r="J79" s="47" t="s">
        <v>1014</v>
      </c>
      <c r="K79" s="47" t="s">
        <v>629</v>
      </c>
      <c r="L79" s="47" t="s">
        <v>1015</v>
      </c>
      <c r="M79" s="48" t="str">
        <f>HYPERLINK("https://law.justia.com/cases/florida/fourth-district-court-of-appeal/2024/4d2023-1191.html","https://law.justia.com/cases/florida/fourth-district-court-of-appeal/2024/4d2023-1191.html")</f>
        <v>https://law.justia.com/cases/florida/fourth-district-court-of-appeal/2024/4d2023-1191.html</v>
      </c>
      <c r="N79" s="47" t="s">
        <v>1016</v>
      </c>
      <c r="O79" s="47" t="s">
        <v>1017</v>
      </c>
      <c r="P79" s="46" t="s">
        <v>413</v>
      </c>
      <c r="Q79" s="46" t="s">
        <v>20</v>
      </c>
    </row>
    <row r="80" spans="1:17" ht="179.75" customHeight="1" x14ac:dyDescent="0.35">
      <c r="A80" s="46" t="s">
        <v>1018</v>
      </c>
      <c r="B80" s="46" t="s">
        <v>400</v>
      </c>
      <c r="C80" s="47" t="s">
        <v>1019</v>
      </c>
      <c r="D80" s="47" t="s">
        <v>402</v>
      </c>
      <c r="E80" s="46" t="s">
        <v>1020</v>
      </c>
      <c r="F80" s="47" t="s">
        <v>1021</v>
      </c>
      <c r="G80" s="46" t="s">
        <v>1022</v>
      </c>
      <c r="H80" s="47" t="s">
        <v>1023</v>
      </c>
      <c r="I80" s="47" t="s">
        <v>797</v>
      </c>
      <c r="J80" s="47" t="s">
        <v>1024</v>
      </c>
      <c r="K80" s="47" t="s">
        <v>981</v>
      </c>
      <c r="L80" s="47" t="s">
        <v>1025</v>
      </c>
      <c r="M80" s="48" t="str">
        <f>HYPERLINK("https://law.justia.com/cases/oregon/court-of-appeals/2021/a165800.html","https://law.justia.com/cases/oregon/court-of-appeals/2021/a165800.html")</f>
        <v>https://law.justia.com/cases/oregon/court-of-appeals/2021/a165800.html</v>
      </c>
      <c r="N80" s="47" t="s">
        <v>1026</v>
      </c>
      <c r="O80" s="47" t="s">
        <v>1027</v>
      </c>
      <c r="P80" s="46" t="s">
        <v>413</v>
      </c>
      <c r="Q80" s="46" t="s">
        <v>20</v>
      </c>
    </row>
    <row r="81" spans="1:17" ht="179.75" customHeight="1" x14ac:dyDescent="0.35">
      <c r="A81" s="46" t="s">
        <v>1028</v>
      </c>
      <c r="B81" s="46" t="s">
        <v>400</v>
      </c>
      <c r="C81" s="49" t="s">
        <v>1029</v>
      </c>
      <c r="D81" s="49" t="s">
        <v>705</v>
      </c>
      <c r="E81" s="46" t="s">
        <v>1030</v>
      </c>
      <c r="F81" s="49" t="s">
        <v>1031</v>
      </c>
      <c r="G81" s="46" t="s">
        <v>1032</v>
      </c>
      <c r="H81" s="49" t="s">
        <v>1033</v>
      </c>
      <c r="I81" s="49" t="s">
        <v>1034</v>
      </c>
      <c r="J81" s="49" t="s">
        <v>1035</v>
      </c>
      <c r="K81" s="49" t="s">
        <v>1036</v>
      </c>
      <c r="L81" s="49" t="s">
        <v>1037</v>
      </c>
      <c r="M81" s="48" t="str">
        <f>HYPERLINK("https://law.justia.com/cases/colorado/court-of-appeals/2019/18ca0977.html","https://law.justia.com/cases/colorado/court-of-appeals/2019/18ca0977.html")</f>
        <v>https://law.justia.com/cases/colorado/court-of-appeals/2019/18ca0977.html</v>
      </c>
      <c r="N81" s="49" t="s">
        <v>1038</v>
      </c>
      <c r="O81" s="49" t="s">
        <v>1039</v>
      </c>
      <c r="P81" s="46" t="s">
        <v>413</v>
      </c>
      <c r="Q81" s="49" t="s">
        <v>20</v>
      </c>
    </row>
    <row r="82" spans="1:17" ht="179.75" customHeight="1" x14ac:dyDescent="0.35">
      <c r="A82" s="46" t="s">
        <v>1040</v>
      </c>
      <c r="B82" s="46" t="s">
        <v>400</v>
      </c>
      <c r="C82" s="49" t="s">
        <v>503</v>
      </c>
      <c r="D82" s="49" t="s">
        <v>517</v>
      </c>
      <c r="E82" s="46" t="s">
        <v>1041</v>
      </c>
      <c r="F82" s="49" t="s">
        <v>1042</v>
      </c>
      <c r="G82" s="46" t="s">
        <v>1043</v>
      </c>
      <c r="H82" s="49" t="s">
        <v>1044</v>
      </c>
      <c r="I82" s="49" t="s">
        <v>797</v>
      </c>
      <c r="J82" s="49" t="s">
        <v>1045</v>
      </c>
      <c r="K82" s="49" t="s">
        <v>914</v>
      </c>
      <c r="L82" s="49" t="s">
        <v>1046</v>
      </c>
      <c r="M82" s="48" t="str">
        <f>HYPERLINK("https://law.justia.com/cases/north-carolina/court-of-appeals/2020/19-302.html","https://law.justia.com/cases/north-carolina/court-of-appeals/2020/19-302.html")</f>
        <v>https://law.justia.com/cases/north-carolina/court-of-appeals/2020/19-302.html</v>
      </c>
      <c r="N82" s="49" t="s">
        <v>1047</v>
      </c>
      <c r="O82" s="49" t="s">
        <v>1048</v>
      </c>
      <c r="P82" s="46" t="s">
        <v>413</v>
      </c>
      <c r="Q82" s="49" t="s">
        <v>20</v>
      </c>
    </row>
    <row r="83" spans="1:17" ht="179.75" customHeight="1" x14ac:dyDescent="0.35">
      <c r="A83" s="46" t="s">
        <v>1049</v>
      </c>
      <c r="B83" s="46" t="s">
        <v>717</v>
      </c>
      <c r="C83" s="49" t="s">
        <v>1050</v>
      </c>
      <c r="D83" s="49" t="s">
        <v>135</v>
      </c>
      <c r="E83" s="46" t="s">
        <v>1051</v>
      </c>
      <c r="F83" s="49" t="s">
        <v>1052</v>
      </c>
      <c r="G83" s="46" t="s">
        <v>1053</v>
      </c>
      <c r="H83" s="49" t="s">
        <v>1054</v>
      </c>
      <c r="I83" s="49" t="s">
        <v>1055</v>
      </c>
      <c r="J83" s="49" t="s">
        <v>1056</v>
      </c>
      <c r="K83" s="49" t="s">
        <v>1057</v>
      </c>
      <c r="L83" s="49" t="s">
        <v>1058</v>
      </c>
      <c r="M83" s="48" t="str">
        <f>HYPERLINK("https://law.justia.com/cases/florida/second-district-court-of-appeal/2020/18-3199.html","https://law.justia.com/cases/florida/second-district-court-of-appeal/2020/18-3199.html")</f>
        <v>https://law.justia.com/cases/florida/second-district-court-of-appeal/2020/18-3199.html</v>
      </c>
      <c r="N83" s="49" t="s">
        <v>1059</v>
      </c>
      <c r="O83" s="49" t="s">
        <v>1060</v>
      </c>
      <c r="P83" s="46" t="s">
        <v>413</v>
      </c>
      <c r="Q83" s="49" t="s">
        <v>20</v>
      </c>
    </row>
    <row r="84" spans="1:17" ht="179.75" customHeight="1" x14ac:dyDescent="0.35">
      <c r="A84" s="46" t="s">
        <v>1061</v>
      </c>
      <c r="B84" s="46" t="s">
        <v>400</v>
      </c>
      <c r="C84" s="49" t="s">
        <v>1062</v>
      </c>
      <c r="D84" s="49" t="s">
        <v>122</v>
      </c>
      <c r="E84" s="46" t="s">
        <v>1063</v>
      </c>
      <c r="F84" s="49" t="s">
        <v>1064</v>
      </c>
      <c r="G84" s="46" t="s">
        <v>1065</v>
      </c>
      <c r="H84" s="49" t="s">
        <v>1066</v>
      </c>
      <c r="I84" s="49" t="s">
        <v>1067</v>
      </c>
      <c r="J84" s="49" t="s">
        <v>1068</v>
      </c>
      <c r="K84" s="49" t="s">
        <v>1069</v>
      </c>
      <c r="L84" s="49" t="s">
        <v>1070</v>
      </c>
      <c r="M84" s="48" t="str">
        <f>HYPERLINK("https://law.justia.com/cases/texas/first-court-of-appeals/2023/01-22-00121-cv.html","https://law.justia.com/cases/texas/first-court-of-appeals/2023/01-22-00121-cv.html")</f>
        <v>https://law.justia.com/cases/texas/first-court-of-appeals/2023/01-22-00121-cv.html</v>
      </c>
      <c r="N84" s="49" t="s">
        <v>1071</v>
      </c>
      <c r="O84" s="49" t="s">
        <v>1072</v>
      </c>
      <c r="P84" s="46" t="s">
        <v>413</v>
      </c>
      <c r="Q84" s="49" t="s">
        <v>20</v>
      </c>
    </row>
    <row r="85" spans="1:17" ht="179.75" customHeight="1" x14ac:dyDescent="0.35">
      <c r="A85" s="46" t="s">
        <v>1073</v>
      </c>
      <c r="B85" s="46" t="s">
        <v>717</v>
      </c>
      <c r="C85" s="47" t="s">
        <v>1074</v>
      </c>
      <c r="D85" s="47" t="s">
        <v>149</v>
      </c>
      <c r="E85" s="46" t="s">
        <v>1075</v>
      </c>
      <c r="F85" s="47" t="s">
        <v>1076</v>
      </c>
      <c r="G85" s="46" t="s">
        <v>1077</v>
      </c>
      <c r="H85" s="47" t="s">
        <v>1078</v>
      </c>
      <c r="I85" s="47" t="s">
        <v>1079</v>
      </c>
      <c r="J85" s="47" t="s">
        <v>1080</v>
      </c>
      <c r="K85" s="47" t="s">
        <v>1081</v>
      </c>
      <c r="L85" s="47" t="s">
        <v>1082</v>
      </c>
      <c r="M85" s="48" t="str">
        <f>HYPERLINK("https://caselaw.findlaw.com/court/spr-crt-new-yor-sul-cou/115371864.html","https://caselaw.findlaw.com/court/spr-crt-new-yor-sul-cou/115371864.html")</f>
        <v>https://caselaw.findlaw.com/court/spr-crt-new-yor-sul-cou/115371864.html</v>
      </c>
      <c r="N85" s="47" t="s">
        <v>1083</v>
      </c>
      <c r="O85" s="47" t="s">
        <v>1084</v>
      </c>
      <c r="P85" s="46" t="s">
        <v>413</v>
      </c>
      <c r="Q85" s="46" t="s">
        <v>20</v>
      </c>
    </row>
    <row r="86" spans="1:17" ht="179.75" customHeight="1" x14ac:dyDescent="0.35">
      <c r="A86" s="46" t="s">
        <v>1085</v>
      </c>
      <c r="B86" s="46" t="s">
        <v>1086</v>
      </c>
      <c r="C86" s="47" t="s">
        <v>1087</v>
      </c>
      <c r="D86" s="47" t="s">
        <v>183</v>
      </c>
      <c r="E86" s="46" t="s">
        <v>1088</v>
      </c>
      <c r="F86" s="47" t="s">
        <v>1089</v>
      </c>
      <c r="G86" s="46" t="s">
        <v>1090</v>
      </c>
      <c r="H86" s="47" t="s">
        <v>1091</v>
      </c>
      <c r="I86" s="47" t="s">
        <v>1092</v>
      </c>
      <c r="J86" s="47" t="s">
        <v>1093</v>
      </c>
      <c r="K86" s="47" t="s">
        <v>1094</v>
      </c>
      <c r="L86" s="47" t="s">
        <v>1095</v>
      </c>
      <c r="M86" s="48" t="str">
        <f>HYPERLINK("https://law.justia.com/cases/ohio/eighth-district-court-of-appeals/2023/112922.html","https://law.justia.com/cases/ohio/eighth-district-court-of-appeals/2023/112922.html")</f>
        <v>https://law.justia.com/cases/ohio/eighth-district-court-of-appeals/2023/112922.html</v>
      </c>
      <c r="N86" s="47" t="s">
        <v>1096</v>
      </c>
      <c r="O86" s="47" t="s">
        <v>1097</v>
      </c>
      <c r="P86" s="46" t="s">
        <v>413</v>
      </c>
      <c r="Q86" s="46" t="s">
        <v>20</v>
      </c>
    </row>
    <row r="87" spans="1:17" ht="179.75" customHeight="1" x14ac:dyDescent="0.35">
      <c r="A87" s="46" t="s">
        <v>1098</v>
      </c>
      <c r="B87" s="46" t="s">
        <v>400</v>
      </c>
      <c r="C87" s="47" t="s">
        <v>1099</v>
      </c>
      <c r="D87" s="47" t="s">
        <v>850</v>
      </c>
      <c r="E87" s="46" t="s">
        <v>1100</v>
      </c>
      <c r="F87" s="47" t="s">
        <v>1101</v>
      </c>
      <c r="G87" s="46" t="s">
        <v>1102</v>
      </c>
      <c r="H87" s="47" t="s">
        <v>1103</v>
      </c>
      <c r="I87" s="47" t="s">
        <v>1104</v>
      </c>
      <c r="J87" s="47" t="s">
        <v>1105</v>
      </c>
      <c r="K87" s="47" t="s">
        <v>857</v>
      </c>
      <c r="L87" s="47" t="s">
        <v>1106</v>
      </c>
      <c r="M87" s="48" t="str">
        <f>HYPERLINK("https://law.justia.com/cases/georgia/court-of-appeals/2017/a17a0870.html","https://law.justia.com/cases/georgia/court-of-appeals/2017/a17a0870.html")</f>
        <v>https://law.justia.com/cases/georgia/court-of-appeals/2017/a17a0870.html</v>
      </c>
      <c r="N87" s="47" t="s">
        <v>1107</v>
      </c>
      <c r="O87" s="47" t="s">
        <v>1108</v>
      </c>
      <c r="P87" s="46" t="s">
        <v>413</v>
      </c>
      <c r="Q87" s="46" t="s">
        <v>20</v>
      </c>
    </row>
    <row r="88" spans="1:17" ht="179.75" customHeight="1" x14ac:dyDescent="0.35">
      <c r="A88" s="46" t="s">
        <v>1109</v>
      </c>
      <c r="B88" s="46" t="s">
        <v>400</v>
      </c>
      <c r="C88" s="47" t="s">
        <v>704</v>
      </c>
      <c r="D88" s="47" t="s">
        <v>756</v>
      </c>
      <c r="E88" s="46" t="s">
        <v>1110</v>
      </c>
      <c r="F88" s="47" t="s">
        <v>1111</v>
      </c>
      <c r="G88" s="46" t="s">
        <v>1112</v>
      </c>
      <c r="H88" s="47" t="s">
        <v>1113</v>
      </c>
      <c r="I88" s="47" t="s">
        <v>1114</v>
      </c>
      <c r="J88" s="47" t="s">
        <v>1115</v>
      </c>
      <c r="K88" s="47" t="s">
        <v>1116</v>
      </c>
      <c r="L88" s="47" t="s">
        <v>1117</v>
      </c>
      <c r="M88" s="48" t="str">
        <f>HYPERLINK("https://law.justia.com/cases/pennsylvania/superior-court/2012/2621-eda-2011.html","https://law.justia.com/cases/pennsylvania/superior-court/2012/2621-eda-2011.html")</f>
        <v>https://law.justia.com/cases/pennsylvania/superior-court/2012/2621-eda-2011.html</v>
      </c>
      <c r="N88" s="47" t="s">
        <v>1118</v>
      </c>
      <c r="O88" s="47" t="s">
        <v>1119</v>
      </c>
      <c r="P88" s="46" t="s">
        <v>413</v>
      </c>
      <c r="Q88" s="46" t="s">
        <v>20</v>
      </c>
    </row>
    <row r="89" spans="1:17" ht="179.75" customHeight="1" x14ac:dyDescent="0.35">
      <c r="A89" s="46" t="s">
        <v>1120</v>
      </c>
      <c r="B89" s="46" t="s">
        <v>400</v>
      </c>
      <c r="C89" s="47" t="s">
        <v>1121</v>
      </c>
      <c r="D89" s="47" t="s">
        <v>705</v>
      </c>
      <c r="E89" s="46" t="s">
        <v>1122</v>
      </c>
      <c r="F89" s="47" t="s">
        <v>1123</v>
      </c>
      <c r="G89" s="46" t="s">
        <v>1124</v>
      </c>
      <c r="H89" s="47" t="s">
        <v>1125</v>
      </c>
      <c r="I89" s="47" t="s">
        <v>1126</v>
      </c>
      <c r="J89" s="47" t="s">
        <v>1127</v>
      </c>
      <c r="K89" s="47" t="s">
        <v>1128</v>
      </c>
      <c r="L89" s="47" t="s">
        <v>1129</v>
      </c>
      <c r="M89" s="48" t="str">
        <f>HYPERLINK("https://caselaw.findlaw.com/co-court-of-appeals/1155265.html","https://caselaw.findlaw.com/co-court-of-appeals/1155265.html")</f>
        <v>https://caselaw.findlaw.com/co-court-of-appeals/1155265.html</v>
      </c>
      <c r="N89" s="47" t="s">
        <v>1130</v>
      </c>
      <c r="O89" s="47" t="s">
        <v>1131</v>
      </c>
      <c r="P89" s="46" t="s">
        <v>413</v>
      </c>
      <c r="Q89" s="46" t="s">
        <v>20</v>
      </c>
    </row>
    <row r="90" spans="1:17" ht="179.75" customHeight="1" x14ac:dyDescent="0.35">
      <c r="A90" s="46" t="s">
        <v>1132</v>
      </c>
      <c r="B90" s="46" t="s">
        <v>400</v>
      </c>
      <c r="C90" s="47" t="s">
        <v>516</v>
      </c>
      <c r="D90" s="47" t="s">
        <v>1133</v>
      </c>
      <c r="E90" s="46" t="s">
        <v>1134</v>
      </c>
      <c r="F90" s="47" t="s">
        <v>1135</v>
      </c>
      <c r="G90" s="46" t="s">
        <v>1136</v>
      </c>
      <c r="H90" s="47" t="s">
        <v>1137</v>
      </c>
      <c r="I90" s="47" t="s">
        <v>1138</v>
      </c>
      <c r="J90" s="47" t="s">
        <v>1139</v>
      </c>
      <c r="K90" s="47" t="s">
        <v>1140</v>
      </c>
      <c r="L90" s="47" t="s">
        <v>1141</v>
      </c>
      <c r="M90" s="48" t="str">
        <f>HYPERLINK("https://law.justia.com/cases/louisiana/fourth-circuit-court-of-appeal/2019/2018-ca-0806.html","https://law.justia.com/cases/louisiana/fourth-circuit-court-of-appeal/2019/2018-ca-0806.html")</f>
        <v>https://law.justia.com/cases/louisiana/fourth-circuit-court-of-appeal/2019/2018-ca-0806.html</v>
      </c>
      <c r="N90" s="47" t="s">
        <v>1142</v>
      </c>
      <c r="O90" s="47" t="s">
        <v>1143</v>
      </c>
      <c r="P90" s="46" t="s">
        <v>413</v>
      </c>
      <c r="Q90" s="46" t="s">
        <v>20</v>
      </c>
    </row>
    <row r="91" spans="1:17" ht="179.75" customHeight="1" x14ac:dyDescent="0.35">
      <c r="A91" s="46" t="s">
        <v>1144</v>
      </c>
      <c r="B91" s="46" t="s">
        <v>400</v>
      </c>
      <c r="C91" s="47" t="s">
        <v>1145</v>
      </c>
      <c r="D91" s="47" t="s">
        <v>135</v>
      </c>
      <c r="E91" s="46" t="s">
        <v>1146</v>
      </c>
      <c r="F91" s="47" t="s">
        <v>1147</v>
      </c>
      <c r="G91" s="46" t="s">
        <v>1148</v>
      </c>
      <c r="H91" s="47" t="s">
        <v>1149</v>
      </c>
      <c r="I91" s="47" t="s">
        <v>797</v>
      </c>
      <c r="J91" s="47" t="s">
        <v>1150</v>
      </c>
      <c r="K91" s="47" t="s">
        <v>1151</v>
      </c>
      <c r="L91" s="47" t="s">
        <v>1152</v>
      </c>
      <c r="M91" s="48" t="str">
        <f>HYPERLINK("https://law.justia.com/cases/florida/fifth-district-court-of-appeal/2022/5d21-2513.html","https://law.justia.com/cases/florida/fifth-district-court-of-appeal/2022/5d21-2513.html")</f>
        <v>https://law.justia.com/cases/florida/fifth-district-court-of-appeal/2022/5d21-2513.html</v>
      </c>
      <c r="N91" s="47" t="s">
        <v>1153</v>
      </c>
      <c r="O91" s="47" t="s">
        <v>1154</v>
      </c>
      <c r="P91" s="46" t="s">
        <v>413</v>
      </c>
      <c r="Q91" s="46" t="s">
        <v>20</v>
      </c>
    </row>
    <row r="92" spans="1:17" ht="179.75" customHeight="1" x14ac:dyDescent="0.35">
      <c r="A92" s="46" t="s">
        <v>1155</v>
      </c>
      <c r="B92" s="46" t="s">
        <v>1156</v>
      </c>
      <c r="C92" s="47" t="s">
        <v>1157</v>
      </c>
      <c r="D92" s="47" t="s">
        <v>135</v>
      </c>
      <c r="E92" s="46" t="s">
        <v>1158</v>
      </c>
      <c r="F92" s="47" t="s">
        <v>1159</v>
      </c>
      <c r="G92" s="46" t="s">
        <v>1160</v>
      </c>
      <c r="H92" s="47" t="s">
        <v>1161</v>
      </c>
      <c r="I92" s="47" t="s">
        <v>1162</v>
      </c>
      <c r="J92" s="47" t="s">
        <v>1163</v>
      </c>
      <c r="K92" s="47" t="s">
        <v>1164</v>
      </c>
      <c r="L92" s="47" t="s">
        <v>1165</v>
      </c>
      <c r="M92" s="48" t="str">
        <f>HYPERLINK("https://www.laureateparkhoa.com/uploads/5/8/8/5/58851205/master_declaration_of_covenants_conditions_restrictions_and_easements_....pdf","https://www.laureateparkhoa.com/uploads/5/8/8/5/58851205/master_declaration_of_covenants_conditions_restrictions_and_easements_....pdf")</f>
        <v>https://www.laureateparkhoa.com/uploads/5/8/8/5/58851205/master_declaration_of_covenants_conditions_restrictions_and_easements_....pdf</v>
      </c>
      <c r="N92" s="47" t="s">
        <v>1166</v>
      </c>
      <c r="O92" s="47" t="s">
        <v>1167</v>
      </c>
      <c r="P92" s="46" t="s">
        <v>413</v>
      </c>
      <c r="Q92" s="46" t="s">
        <v>20</v>
      </c>
    </row>
    <row r="93" spans="1:17" ht="179.75" customHeight="1" x14ac:dyDescent="0.35">
      <c r="A93" s="46" t="s">
        <v>1168</v>
      </c>
      <c r="B93" s="46" t="s">
        <v>400</v>
      </c>
      <c r="C93" s="47" t="s">
        <v>1169</v>
      </c>
      <c r="D93" s="47" t="s">
        <v>1170</v>
      </c>
      <c r="E93" s="46" t="s">
        <v>1171</v>
      </c>
      <c r="F93" s="47" t="s">
        <v>1172</v>
      </c>
      <c r="G93" s="46" t="s">
        <v>1173</v>
      </c>
      <c r="H93" s="47" t="s">
        <v>1174</v>
      </c>
      <c r="I93" s="47" t="s">
        <v>1175</v>
      </c>
      <c r="J93" s="47" t="s">
        <v>1176</v>
      </c>
      <c r="K93" s="47" t="s">
        <v>1177</v>
      </c>
      <c r="L93" s="47" t="s">
        <v>1178</v>
      </c>
      <c r="M93" s="48" t="str">
        <f>HYPERLINK("https://law.justia.com/cases/alabama/supreme-court/2021/1180945.html","https://law.justia.com/cases/alabama/supreme-court/2021/1180945.html")</f>
        <v>https://law.justia.com/cases/alabama/supreme-court/2021/1180945.html</v>
      </c>
      <c r="N93" s="47" t="s">
        <v>1179</v>
      </c>
      <c r="O93" s="47" t="s">
        <v>1180</v>
      </c>
      <c r="P93" s="46" t="s">
        <v>413</v>
      </c>
      <c r="Q93" s="46" t="s">
        <v>20</v>
      </c>
    </row>
    <row r="94" spans="1:17" ht="179.75" customHeight="1" x14ac:dyDescent="0.35">
      <c r="A94" s="46" t="s">
        <v>1181</v>
      </c>
      <c r="B94" s="46" t="s">
        <v>400</v>
      </c>
      <c r="C94" s="47" t="s">
        <v>1182</v>
      </c>
      <c r="D94" s="47" t="s">
        <v>122</v>
      </c>
      <c r="E94" s="46" t="s">
        <v>1183</v>
      </c>
      <c r="F94" s="47" t="s">
        <v>1184</v>
      </c>
      <c r="G94" s="46" t="s">
        <v>1185</v>
      </c>
      <c r="H94" s="47" t="s">
        <v>1186</v>
      </c>
      <c r="I94" s="47" t="s">
        <v>1187</v>
      </c>
      <c r="J94" s="47" t="s">
        <v>1188</v>
      </c>
      <c r="K94" s="47" t="s">
        <v>1189</v>
      </c>
      <c r="L94" s="47" t="s">
        <v>1190</v>
      </c>
      <c r="M94" s="48" t="str">
        <f>HYPERLINK("https://law.justia.com/cases/texas/second-court-of-appeals/2020/02-19-00102-cv.html","https://law.justia.com/cases/texas/second-court-of-appeals/2020/02-19-00102-cv.html")</f>
        <v>https://law.justia.com/cases/texas/second-court-of-appeals/2020/02-19-00102-cv.html</v>
      </c>
      <c r="N94" s="47" t="s">
        <v>1191</v>
      </c>
      <c r="O94" s="47" t="s">
        <v>1192</v>
      </c>
      <c r="P94" s="46" t="s">
        <v>230</v>
      </c>
      <c r="Q94" s="46" t="s">
        <v>20</v>
      </c>
    </row>
    <row r="95" spans="1:17" ht="179.75" customHeight="1" x14ac:dyDescent="0.35">
      <c r="A95" s="46" t="s">
        <v>1193</v>
      </c>
      <c r="B95" s="46" t="s">
        <v>400</v>
      </c>
      <c r="C95" s="47" t="s">
        <v>1194</v>
      </c>
      <c r="D95" s="47" t="s">
        <v>1195</v>
      </c>
      <c r="E95" s="46" t="s">
        <v>1196</v>
      </c>
      <c r="F95" s="47" t="s">
        <v>1197</v>
      </c>
      <c r="G95" s="46" t="s">
        <v>1198</v>
      </c>
      <c r="H95" s="47" t="s">
        <v>1199</v>
      </c>
      <c r="I95" s="47" t="s">
        <v>1200</v>
      </c>
      <c r="J95" s="47" t="s">
        <v>1201</v>
      </c>
      <c r="K95" s="47" t="s">
        <v>1202</v>
      </c>
      <c r="L95" s="47" t="s">
        <v>1203</v>
      </c>
      <c r="M95" s="48" t="str">
        <f>HYPERLINK("https://law.justia.com/cases/connecticut/court-of-appeals/2019/ac39898.html","https://law.justia.com/cases/connecticut/court-of-appeals/2019/ac39898.html")</f>
        <v>https://law.justia.com/cases/connecticut/court-of-appeals/2019/ac39898.html</v>
      </c>
      <c r="N95" s="47" t="s">
        <v>1204</v>
      </c>
      <c r="O95" s="47" t="s">
        <v>1205</v>
      </c>
      <c r="P95" s="46" t="s">
        <v>413</v>
      </c>
      <c r="Q95" s="46" t="s">
        <v>20</v>
      </c>
    </row>
    <row r="96" spans="1:17" ht="179.75" customHeight="1" x14ac:dyDescent="0.35">
      <c r="A96" s="46" t="s">
        <v>1206</v>
      </c>
      <c r="B96" s="46" t="s">
        <v>400</v>
      </c>
      <c r="C96" s="47" t="s">
        <v>1207</v>
      </c>
      <c r="D96" s="47" t="s">
        <v>705</v>
      </c>
      <c r="E96" s="46" t="s">
        <v>1208</v>
      </c>
      <c r="F96" s="47" t="s">
        <v>1209</v>
      </c>
      <c r="G96" s="46" t="s">
        <v>1210</v>
      </c>
      <c r="H96" s="47" t="s">
        <v>1211</v>
      </c>
      <c r="I96" s="47" t="s">
        <v>1212</v>
      </c>
      <c r="J96" s="47" t="s">
        <v>1213</v>
      </c>
      <c r="K96" s="47" t="s">
        <v>1036</v>
      </c>
      <c r="L96" s="47" t="s">
        <v>1214</v>
      </c>
      <c r="M96" s="48" t="str">
        <f>HYPERLINK("https://law.justia.com/cases/colorado/court-of-appeals/2016/15ca0757.html","https://law.justia.com/cases/colorado/court-of-appeals/2016/15ca0757.html")</f>
        <v>https://law.justia.com/cases/colorado/court-of-appeals/2016/15ca0757.html</v>
      </c>
      <c r="N96" s="47" t="s">
        <v>1215</v>
      </c>
      <c r="O96" s="47" t="s">
        <v>1216</v>
      </c>
      <c r="P96" s="46" t="s">
        <v>413</v>
      </c>
      <c r="Q96" s="46" t="s">
        <v>20</v>
      </c>
    </row>
    <row r="97" spans="1:17" ht="179.75" customHeight="1" x14ac:dyDescent="0.35">
      <c r="A97" s="46" t="s">
        <v>1217</v>
      </c>
      <c r="B97" s="46" t="s">
        <v>400</v>
      </c>
      <c r="C97" s="47" t="s">
        <v>1218</v>
      </c>
      <c r="D97" s="47" t="s">
        <v>517</v>
      </c>
      <c r="E97" s="46" t="s">
        <v>1219</v>
      </c>
      <c r="F97" s="47" t="s">
        <v>1220</v>
      </c>
      <c r="G97" s="46" t="s">
        <v>1221</v>
      </c>
      <c r="H97" s="47" t="s">
        <v>1222</v>
      </c>
      <c r="I97" s="47" t="s">
        <v>797</v>
      </c>
      <c r="J97" s="47" t="s">
        <v>1223</v>
      </c>
      <c r="K97" s="47" t="s">
        <v>914</v>
      </c>
      <c r="L97" s="47" t="s">
        <v>1224</v>
      </c>
      <c r="M97" s="48" t="str">
        <f>HYPERLINK("https://law.justia.com/cases/north-carolina/court-of-appeals/2015/14-1088.html","https://law.justia.com/cases/north-carolina/court-of-appeals/2015/14-1088.html")</f>
        <v>https://law.justia.com/cases/north-carolina/court-of-appeals/2015/14-1088.html</v>
      </c>
      <c r="N97" s="47" t="s">
        <v>1225</v>
      </c>
      <c r="O97" s="47" t="s">
        <v>1226</v>
      </c>
      <c r="P97" s="46" t="s">
        <v>413</v>
      </c>
      <c r="Q97" s="46" t="s">
        <v>20</v>
      </c>
    </row>
    <row r="98" spans="1:17" ht="179.75" customHeight="1" x14ac:dyDescent="0.35">
      <c r="A98" s="46" t="s">
        <v>1227</v>
      </c>
      <c r="B98" s="46" t="s">
        <v>400</v>
      </c>
      <c r="C98" s="47" t="s">
        <v>1228</v>
      </c>
      <c r="D98" s="47" t="s">
        <v>122</v>
      </c>
      <c r="E98" s="46" t="s">
        <v>1229</v>
      </c>
      <c r="F98" s="47" t="s">
        <v>1230</v>
      </c>
      <c r="G98" s="46" t="s">
        <v>1231</v>
      </c>
      <c r="H98" s="47" t="s">
        <v>1232</v>
      </c>
      <c r="I98" s="47" t="s">
        <v>1233</v>
      </c>
      <c r="J98" s="47" t="s">
        <v>1234</v>
      </c>
      <c r="K98" s="47" t="s">
        <v>1235</v>
      </c>
      <c r="L98" s="47" t="s">
        <v>1236</v>
      </c>
      <c r="M98" s="48" t="str">
        <f>HYPERLINK("https://law.justia.com/cases/texas/third-court-of-appeals/2011/20248.html","https://law.justia.com/cases/texas/third-court-of-appeals/2011/20248.html")</f>
        <v>https://law.justia.com/cases/texas/third-court-of-appeals/2011/20248.html</v>
      </c>
      <c r="N98" s="47" t="s">
        <v>1237</v>
      </c>
      <c r="O98" s="47" t="s">
        <v>1238</v>
      </c>
      <c r="P98" s="46" t="s">
        <v>413</v>
      </c>
      <c r="Q98" s="46" t="s">
        <v>20</v>
      </c>
    </row>
    <row r="99" spans="1:17" ht="179.75" customHeight="1" x14ac:dyDescent="0.35">
      <c r="A99" s="46" t="s">
        <v>1239</v>
      </c>
      <c r="B99" s="46" t="s">
        <v>400</v>
      </c>
      <c r="C99" s="47" t="s">
        <v>1240</v>
      </c>
      <c r="D99" s="47" t="s">
        <v>183</v>
      </c>
      <c r="E99" s="46" t="s">
        <v>1241</v>
      </c>
      <c r="F99" s="47" t="s">
        <v>1242</v>
      </c>
      <c r="G99" s="46" t="s">
        <v>1243</v>
      </c>
      <c r="H99" s="47" t="s">
        <v>1244</v>
      </c>
      <c r="I99" s="47" t="s">
        <v>1245</v>
      </c>
      <c r="J99" s="47" t="s">
        <v>1246</v>
      </c>
      <c r="K99" s="47" t="s">
        <v>1247</v>
      </c>
      <c r="L99" s="47" t="s">
        <v>1248</v>
      </c>
      <c r="M99" s="48" t="str">
        <f>HYPERLINK("https://law.justia.com/cases/ohio/second-district-court-of-appeals/2026/2025-ca-43-0.html","https://law.justia.com/cases/ohio/second-district-court-of-appeals/2026/2025-ca-43-0.html")</f>
        <v>https://law.justia.com/cases/ohio/second-district-court-of-appeals/2026/2025-ca-43-0.html</v>
      </c>
      <c r="N99" s="47" t="s">
        <v>1249</v>
      </c>
      <c r="O99" s="47" t="s">
        <v>1250</v>
      </c>
      <c r="P99" s="46" t="s">
        <v>413</v>
      </c>
      <c r="Q99" s="46" t="s">
        <v>20</v>
      </c>
    </row>
    <row r="100" spans="1:17" ht="179.75" customHeight="1" x14ac:dyDescent="0.35">
      <c r="A100" s="46" t="s">
        <v>1251</v>
      </c>
      <c r="B100" s="46" t="s">
        <v>400</v>
      </c>
      <c r="C100" s="49" t="s">
        <v>1252</v>
      </c>
      <c r="D100" s="49" t="s">
        <v>149</v>
      </c>
      <c r="E100" s="46" t="s">
        <v>1253</v>
      </c>
      <c r="F100" s="49" t="s">
        <v>1254</v>
      </c>
      <c r="G100" s="46" t="s">
        <v>1255</v>
      </c>
      <c r="H100" s="49" t="s">
        <v>1256</v>
      </c>
      <c r="I100" s="49" t="s">
        <v>1257</v>
      </c>
      <c r="J100" s="49" t="s">
        <v>1258</v>
      </c>
      <c r="K100" s="49" t="s">
        <v>1259</v>
      </c>
      <c r="L100" s="49" t="s">
        <v>1260</v>
      </c>
      <c r="M100" s="48" t="str">
        <f>HYPERLINK("https://law.justia.com/cases/new-york/other-courts/2013/2013-ny-slip-op-50984-u.html","https://law.justia.com/cases/new-york/other-courts/2013/2013-ny-slip-op-50984-u.html")</f>
        <v>https://law.justia.com/cases/new-york/other-courts/2013/2013-ny-slip-op-50984-u.html</v>
      </c>
      <c r="N100" s="49" t="s">
        <v>1261</v>
      </c>
      <c r="O100" s="49" t="s">
        <v>1262</v>
      </c>
      <c r="P100" s="46" t="s">
        <v>413</v>
      </c>
      <c r="Q100" s="49" t="s">
        <v>20</v>
      </c>
    </row>
    <row r="101" spans="1:17" ht="179.75" customHeight="1" x14ac:dyDescent="0.35">
      <c r="A101" s="46" t="s">
        <v>1263</v>
      </c>
      <c r="B101" s="46" t="s">
        <v>400</v>
      </c>
      <c r="C101" s="49" t="s">
        <v>1264</v>
      </c>
      <c r="D101" s="49" t="s">
        <v>504</v>
      </c>
      <c r="E101" s="46" t="s">
        <v>1265</v>
      </c>
      <c r="F101" s="49" t="s">
        <v>1266</v>
      </c>
      <c r="G101" s="46" t="s">
        <v>1267</v>
      </c>
      <c r="H101" s="49" t="s">
        <v>1268</v>
      </c>
      <c r="I101" s="49" t="s">
        <v>1269</v>
      </c>
      <c r="J101" s="49" t="s">
        <v>1270</v>
      </c>
      <c r="K101" s="49" t="s">
        <v>663</v>
      </c>
      <c r="L101" s="49" t="s">
        <v>1271</v>
      </c>
      <c r="M101" s="48" t="str">
        <f>HYPERLINK("https://law.justia.com/cases/tennessee/court-of-appeals/2026/m2025-00918-coa-r3-cv.html","https://law.justia.com/cases/tennessee/court-of-appeals/2026/m2025-00918-coa-r3-cv.html")</f>
        <v>https://law.justia.com/cases/tennessee/court-of-appeals/2026/m2025-00918-coa-r3-cv.html</v>
      </c>
      <c r="N101" s="49" t="s">
        <v>1272</v>
      </c>
      <c r="O101" s="49" t="s">
        <v>1273</v>
      </c>
      <c r="P101" s="46" t="s">
        <v>398</v>
      </c>
      <c r="Q101" s="49" t="s">
        <v>20</v>
      </c>
    </row>
    <row r="102" spans="1:17" ht="179.75" customHeight="1" x14ac:dyDescent="0.35">
      <c r="A102" s="46" t="s">
        <v>1274</v>
      </c>
      <c r="B102" s="46" t="s">
        <v>400</v>
      </c>
      <c r="C102" s="49" t="s">
        <v>1275</v>
      </c>
      <c r="D102" s="49" t="s">
        <v>1276</v>
      </c>
      <c r="E102" s="46" t="s">
        <v>1277</v>
      </c>
      <c r="F102" s="49" t="s">
        <v>1278</v>
      </c>
      <c r="G102" s="46" t="s">
        <v>1279</v>
      </c>
      <c r="H102" s="49" t="s">
        <v>1280</v>
      </c>
      <c r="I102" s="49" t="s">
        <v>1281</v>
      </c>
      <c r="J102" s="49" t="s">
        <v>1282</v>
      </c>
      <c r="K102" s="49" t="s">
        <v>1283</v>
      </c>
      <c r="L102" s="49" t="s">
        <v>1284</v>
      </c>
      <c r="M102" s="48" t="str">
        <f>HYPERLINK("https://law.justia.com/cases/mississippi/court-of-appeals/2026/2023-ca-01110-coa.html","https://law.justia.com/cases/mississippi/court-of-appeals/2026/2023-ca-01110-coa.html")</f>
        <v>https://law.justia.com/cases/mississippi/court-of-appeals/2026/2023-ca-01110-coa.html</v>
      </c>
      <c r="N102" s="49" t="s">
        <v>1285</v>
      </c>
      <c r="O102" s="49" t="s">
        <v>1286</v>
      </c>
      <c r="P102" s="46" t="s">
        <v>413</v>
      </c>
      <c r="Q102" s="49" t="s">
        <v>20</v>
      </c>
    </row>
    <row r="103" spans="1:17" ht="179.75" customHeight="1" x14ac:dyDescent="0.35">
      <c r="A103" s="46" t="s">
        <v>1287</v>
      </c>
      <c r="B103" s="46" t="s">
        <v>400</v>
      </c>
      <c r="C103" s="49" t="s">
        <v>1288</v>
      </c>
      <c r="D103" s="49" t="s">
        <v>122</v>
      </c>
      <c r="E103" s="46" t="s">
        <v>1289</v>
      </c>
      <c r="F103" s="49" t="s">
        <v>1290</v>
      </c>
      <c r="G103" s="46" t="s">
        <v>1291</v>
      </c>
      <c r="H103" s="49" t="s">
        <v>1292</v>
      </c>
      <c r="I103" s="49" t="s">
        <v>1293</v>
      </c>
      <c r="J103" s="49" t="s">
        <v>1294</v>
      </c>
      <c r="K103" s="49" t="s">
        <v>1235</v>
      </c>
      <c r="L103" s="49" t="s">
        <v>1295</v>
      </c>
      <c r="M103" s="48" t="str">
        <f>HYPERLINK("https://law.justia.com/cases/texas/third-court-of-appeals/2014/03-13-00080-cv.html","https://law.justia.com/cases/texas/third-court-of-appeals/2014/03-13-00080-cv.html")</f>
        <v>https://law.justia.com/cases/texas/third-court-of-appeals/2014/03-13-00080-cv.html</v>
      </c>
      <c r="N103" s="49" t="s">
        <v>1296</v>
      </c>
      <c r="O103" s="49" t="s">
        <v>1297</v>
      </c>
      <c r="P103" s="46" t="s">
        <v>230</v>
      </c>
      <c r="Q103" s="49" t="s">
        <v>20</v>
      </c>
    </row>
    <row r="104" spans="1:17" ht="179.75" customHeight="1" x14ac:dyDescent="0.35">
      <c r="A104" s="46" t="s">
        <v>1298</v>
      </c>
      <c r="B104" s="46" t="s">
        <v>1299</v>
      </c>
      <c r="C104" s="49" t="s">
        <v>1300</v>
      </c>
      <c r="D104" s="49" t="s">
        <v>135</v>
      </c>
      <c r="E104" s="46" t="s">
        <v>1301</v>
      </c>
      <c r="F104" s="49" t="s">
        <v>1302</v>
      </c>
      <c r="G104" s="46" t="s">
        <v>1303</v>
      </c>
      <c r="H104" s="49" t="s">
        <v>1304</v>
      </c>
      <c r="I104" s="49" t="s">
        <v>1305</v>
      </c>
      <c r="J104" s="49" t="s">
        <v>1306</v>
      </c>
      <c r="K104" s="49" t="s">
        <v>1307</v>
      </c>
      <c r="L104" s="49" t="s">
        <v>1308</v>
      </c>
      <c r="M104" s="48" t="str">
        <f>HYPERLINK("https://law.justia.com/cases/federal/district-courts/florida/flsdce/1%3A2019cv23685/556787/62/","https://law.justia.com/cases/federal/district-courts/florida/flsdce/1%3A2019cv23685/556787/62/")</f>
        <v>https://law.justia.com/cases/federal/district-courts/florida/flsdce/1%3A2019cv23685/556787/62/</v>
      </c>
      <c r="N104" s="49" t="s">
        <v>1309</v>
      </c>
      <c r="O104" s="49" t="s">
        <v>1310</v>
      </c>
      <c r="P104" s="46" t="s">
        <v>413</v>
      </c>
      <c r="Q104" s="49" t="s">
        <v>20</v>
      </c>
    </row>
    <row r="105" spans="1:17" ht="179.75" customHeight="1" x14ac:dyDescent="0.35">
      <c r="A105" s="46" t="s">
        <v>1311</v>
      </c>
      <c r="B105" s="46" t="s">
        <v>1299</v>
      </c>
      <c r="C105" s="49" t="s">
        <v>1312</v>
      </c>
      <c r="D105" s="49" t="s">
        <v>122</v>
      </c>
      <c r="E105" s="46" t="s">
        <v>1313</v>
      </c>
      <c r="F105" s="49" t="s">
        <v>1314</v>
      </c>
      <c r="G105" s="46" t="s">
        <v>1315</v>
      </c>
      <c r="H105" s="49" t="s">
        <v>1316</v>
      </c>
      <c r="I105" s="49" t="s">
        <v>1317</v>
      </c>
      <c r="J105" s="49" t="s">
        <v>1318</v>
      </c>
      <c r="K105" s="49" t="s">
        <v>1319</v>
      </c>
      <c r="L105" s="49" t="s">
        <v>1320</v>
      </c>
      <c r="M105" s="48" t="str">
        <f>HYPERLINK("https://law.justia.com/cases/federal/district-courts/texas/txndce/3%3A2018cv02036/305603/56/","https://law.justia.com/cases/federal/district-courts/texas/txndce/3%3A2018cv02036/305603/56/")</f>
        <v>https://law.justia.com/cases/federal/district-courts/texas/txndce/3%3A2018cv02036/305603/56/</v>
      </c>
      <c r="N105" s="49" t="s">
        <v>1321</v>
      </c>
      <c r="O105" s="49" t="s">
        <v>1322</v>
      </c>
      <c r="P105" s="46" t="s">
        <v>119</v>
      </c>
      <c r="Q105" s="49" t="s">
        <v>20</v>
      </c>
    </row>
    <row r="106" spans="1:17" ht="179.75" customHeight="1" x14ac:dyDescent="0.35">
      <c r="A106" s="46" t="s">
        <v>1323</v>
      </c>
      <c r="B106" s="46" t="s">
        <v>400</v>
      </c>
      <c r="C106" s="49" t="s">
        <v>1324</v>
      </c>
      <c r="D106" s="49" t="s">
        <v>122</v>
      </c>
      <c r="E106" s="46" t="s">
        <v>1325</v>
      </c>
      <c r="F106" s="49" t="s">
        <v>1326</v>
      </c>
      <c r="G106" s="46" t="s">
        <v>1327</v>
      </c>
      <c r="H106" s="49" t="s">
        <v>1328</v>
      </c>
      <c r="I106" s="49" t="s">
        <v>1329</v>
      </c>
      <c r="J106" s="49" t="s">
        <v>1330</v>
      </c>
      <c r="K106" s="49" t="s">
        <v>1331</v>
      </c>
      <c r="L106" s="49" t="s">
        <v>1332</v>
      </c>
      <c r="M106" s="48" t="str">
        <f>HYPERLINK("https://law.justia.com/cases/texas/fourteenth-court-of-appeals/2020/14-18-01086-cv.html","https://law.justia.com/cases/texas/fourteenth-court-of-appeals/2020/14-18-01086-cv.html")</f>
        <v>https://law.justia.com/cases/texas/fourteenth-court-of-appeals/2020/14-18-01086-cv.html</v>
      </c>
      <c r="N106" s="49" t="s">
        <v>1333</v>
      </c>
      <c r="O106" s="49" t="s">
        <v>1334</v>
      </c>
      <c r="P106" s="46" t="s">
        <v>119</v>
      </c>
      <c r="Q106" s="49" t="s">
        <v>20</v>
      </c>
    </row>
    <row r="107" spans="1:17" ht="179.75" customHeight="1" x14ac:dyDescent="0.35">
      <c r="A107" s="46" t="s">
        <v>1335</v>
      </c>
      <c r="B107" s="46" t="s">
        <v>400</v>
      </c>
      <c r="C107" s="49" t="s">
        <v>1336</v>
      </c>
      <c r="D107" s="49" t="s">
        <v>1337</v>
      </c>
      <c r="E107" s="46" t="s">
        <v>1338</v>
      </c>
      <c r="F107" s="49" t="s">
        <v>1339</v>
      </c>
      <c r="G107" s="46" t="s">
        <v>1340</v>
      </c>
      <c r="H107" s="49" t="s">
        <v>1341</v>
      </c>
      <c r="I107" s="49" t="s">
        <v>1342</v>
      </c>
      <c r="J107" s="49" t="s">
        <v>1343</v>
      </c>
      <c r="K107" s="49" t="s">
        <v>1344</v>
      </c>
      <c r="L107" s="49" t="s">
        <v>1345</v>
      </c>
      <c r="M107" s="48" t="str">
        <f>HYPERLINK("https://www.njcourts.gov/system/files/court-opinions/2021/BER-L-8280-19.pdf","https://www.njcourts.gov/system/files/court-opinions/2021/BER-L-8280-19.pdf")</f>
        <v>https://www.njcourts.gov/system/files/court-opinions/2021/BER-L-8280-19.pdf</v>
      </c>
      <c r="N107" s="49" t="s">
        <v>1346</v>
      </c>
      <c r="O107" s="49" t="s">
        <v>1347</v>
      </c>
      <c r="P107" s="46" t="s">
        <v>119</v>
      </c>
      <c r="Q107" s="49" t="s">
        <v>20</v>
      </c>
    </row>
    <row r="108" spans="1:17" ht="179.75" customHeight="1" x14ac:dyDescent="0.35">
      <c r="A108" s="46" t="s">
        <v>1348</v>
      </c>
      <c r="B108" s="46" t="s">
        <v>1349</v>
      </c>
      <c r="C108" s="47" t="s">
        <v>1350</v>
      </c>
      <c r="D108" s="47" t="s">
        <v>705</v>
      </c>
      <c r="E108" s="46" t="s">
        <v>1351</v>
      </c>
      <c r="F108" s="47" t="s">
        <v>1352</v>
      </c>
      <c r="G108" s="46" t="s">
        <v>1353</v>
      </c>
      <c r="H108" s="47" t="s">
        <v>1354</v>
      </c>
      <c r="I108" s="47" t="s">
        <v>1355</v>
      </c>
      <c r="J108" s="47" t="s">
        <v>1356</v>
      </c>
      <c r="K108" s="47" t="s">
        <v>1357</v>
      </c>
      <c r="L108" s="47" t="s">
        <v>1358</v>
      </c>
      <c r="M108" s="48" t="str">
        <f>HYPERLINK("https://www.realtor.com/news/real-estate-news/denver-hoa-lawsuit-avenue-one-brett-hardt/","https://www.realtor.com/news/real-estate-news/denver-hoa-lawsuit-avenue-one-brett-hardt/")</f>
        <v>https://www.realtor.com/news/real-estate-news/denver-hoa-lawsuit-avenue-one-brett-hardt/</v>
      </c>
      <c r="N108" s="47" t="s">
        <v>1359</v>
      </c>
      <c r="O108" s="47" t="s">
        <v>1360</v>
      </c>
      <c r="P108" s="46" t="s">
        <v>1361</v>
      </c>
      <c r="Q108" s="46" t="s">
        <v>20</v>
      </c>
    </row>
    <row r="109" spans="1:17" ht="179.75" customHeight="1" x14ac:dyDescent="0.35">
      <c r="A109" s="46" t="s">
        <v>1362</v>
      </c>
      <c r="B109" s="46" t="s">
        <v>1299</v>
      </c>
      <c r="C109" s="47" t="s">
        <v>1363</v>
      </c>
      <c r="D109" s="47" t="s">
        <v>1364</v>
      </c>
      <c r="E109" s="46" t="s">
        <v>1365</v>
      </c>
      <c r="F109" s="47" t="s">
        <v>1366</v>
      </c>
      <c r="G109" s="46" t="s">
        <v>1367</v>
      </c>
      <c r="H109" s="47" t="s">
        <v>1368</v>
      </c>
      <c r="I109" s="47" t="s">
        <v>1369</v>
      </c>
      <c r="J109" s="47" t="s">
        <v>1370</v>
      </c>
      <c r="K109" s="47" t="s">
        <v>1371</v>
      </c>
      <c r="L109" s="47" t="s">
        <v>1372</v>
      </c>
      <c r="M109" s="48" t="str">
        <f>HYPERLINK("https://law.justia.com/cases/federal/district-courts/district-of-columbia/dcdce/1%3A2025cv03127/284929/55/","https://law.justia.com/cases/federal/district-courts/district-of-columbia/dcdce/1%3A2025cv03127/284929/55/")</f>
        <v>https://law.justia.com/cases/federal/district-courts/district-of-columbia/dcdce/1%3A2025cv03127/284929/55/</v>
      </c>
      <c r="N109" s="47" t="s">
        <v>1373</v>
      </c>
      <c r="O109" s="47" t="s">
        <v>1374</v>
      </c>
      <c r="P109" s="46" t="s">
        <v>1375</v>
      </c>
      <c r="Q109" s="46" t="s">
        <v>20</v>
      </c>
    </row>
    <row r="110" spans="1:17" ht="179.75" customHeight="1" x14ac:dyDescent="0.35">
      <c r="A110" s="46" t="s">
        <v>1376</v>
      </c>
      <c r="B110" s="46" t="s">
        <v>400</v>
      </c>
      <c r="C110" s="47" t="s">
        <v>1377</v>
      </c>
      <c r="D110" s="47" t="s">
        <v>122</v>
      </c>
      <c r="E110" s="46" t="s">
        <v>1378</v>
      </c>
      <c r="F110" s="47" t="s">
        <v>1379</v>
      </c>
      <c r="G110" s="46" t="s">
        <v>1380</v>
      </c>
      <c r="H110" s="47" t="s">
        <v>1381</v>
      </c>
      <c r="I110" s="47" t="s">
        <v>1382</v>
      </c>
      <c r="J110" s="47" t="s">
        <v>1383</v>
      </c>
      <c r="K110" s="47" t="s">
        <v>1069</v>
      </c>
      <c r="L110" s="47" t="s">
        <v>1384</v>
      </c>
      <c r="M110" s="48" t="str">
        <f>HYPERLINK("https://law.justia.com/cases/texas/first-court-of-appeals/2015/01-13-00934-cv.html","https://law.justia.com/cases/texas/first-court-of-appeals/2015/01-13-00934-cv.html")</f>
        <v>https://law.justia.com/cases/texas/first-court-of-appeals/2015/01-13-00934-cv.html</v>
      </c>
      <c r="N110" s="47" t="s">
        <v>1385</v>
      </c>
      <c r="O110" s="47" t="s">
        <v>1386</v>
      </c>
      <c r="P110" s="46" t="s">
        <v>119</v>
      </c>
      <c r="Q110" s="46" t="s">
        <v>20</v>
      </c>
    </row>
    <row r="111" spans="1:17" ht="179.75" customHeight="1" x14ac:dyDescent="0.35">
      <c r="A111" s="46" t="s">
        <v>1387</v>
      </c>
      <c r="B111" s="46" t="s">
        <v>1388</v>
      </c>
      <c r="C111" s="47" t="s">
        <v>1389</v>
      </c>
      <c r="D111" s="47" t="s">
        <v>1390</v>
      </c>
      <c r="E111" s="46" t="s">
        <v>1391</v>
      </c>
      <c r="F111" s="47" t="s">
        <v>1392</v>
      </c>
      <c r="G111" s="46" t="s">
        <v>1393</v>
      </c>
      <c r="H111" s="47" t="s">
        <v>1394</v>
      </c>
      <c r="I111" s="47" t="s">
        <v>1395</v>
      </c>
      <c r="J111" s="47" t="s">
        <v>1396</v>
      </c>
      <c r="K111" s="47" t="s">
        <v>1397</v>
      </c>
      <c r="L111" s="47" t="s">
        <v>1398</v>
      </c>
      <c r="M111" s="48" t="str">
        <f>HYPERLINK("https://law.justia.com/cases/missouri/court-of-appeals/2025/sd38117.html","https://law.justia.com/cases/missouri/court-of-appeals/2025/sd38117.html")</f>
        <v>https://law.justia.com/cases/missouri/court-of-appeals/2025/sd38117.html</v>
      </c>
      <c r="N111" s="47" t="s">
        <v>1399</v>
      </c>
      <c r="O111" s="47" t="s">
        <v>1400</v>
      </c>
      <c r="P111" s="46" t="s">
        <v>1401</v>
      </c>
      <c r="Q111" s="46" t="s">
        <v>20</v>
      </c>
    </row>
    <row r="112" spans="1:17" ht="179.75" customHeight="1" x14ac:dyDescent="0.35">
      <c r="A112" s="46" t="s">
        <v>1402</v>
      </c>
      <c r="B112" s="46" t="s">
        <v>717</v>
      </c>
      <c r="C112" s="47" t="s">
        <v>1403</v>
      </c>
      <c r="D112" s="47" t="s">
        <v>122</v>
      </c>
      <c r="E112" s="46" t="s">
        <v>1404</v>
      </c>
      <c r="F112" s="47" t="s">
        <v>1405</v>
      </c>
      <c r="G112" s="46" t="s">
        <v>1406</v>
      </c>
      <c r="H112" s="47" t="s">
        <v>1407</v>
      </c>
      <c r="I112" s="47" t="s">
        <v>1408</v>
      </c>
      <c r="J112" s="47" t="s">
        <v>1409</v>
      </c>
      <c r="K112" s="47" t="s">
        <v>1410</v>
      </c>
      <c r="L112" s="47" t="s">
        <v>1411</v>
      </c>
      <c r="M112" s="48" t="str">
        <f>HYPERLINK("https://law.justia.com/cases/texas/fifth-court-of-appeals/2026/05-25-01130-cv.html","https://law.justia.com/cases/texas/fifth-court-of-appeals/2026/05-25-01130-cv.html")</f>
        <v>https://law.justia.com/cases/texas/fifth-court-of-appeals/2026/05-25-01130-cv.html</v>
      </c>
      <c r="N112" s="47" t="s">
        <v>1412</v>
      </c>
      <c r="O112" s="47" t="s">
        <v>1413</v>
      </c>
      <c r="P112" s="46" t="s">
        <v>1414</v>
      </c>
      <c r="Q112" s="46" t="s">
        <v>20</v>
      </c>
    </row>
    <row r="113" spans="1:17" ht="179.75" customHeight="1" x14ac:dyDescent="0.35">
      <c r="A113" s="46" t="s">
        <v>1415</v>
      </c>
      <c r="B113" s="46" t="s">
        <v>717</v>
      </c>
      <c r="C113" s="47" t="s">
        <v>1416</v>
      </c>
      <c r="D113" s="47" t="s">
        <v>149</v>
      </c>
      <c r="E113" s="46" t="s">
        <v>1417</v>
      </c>
      <c r="F113" s="47" t="s">
        <v>1418</v>
      </c>
      <c r="G113" s="46" t="s">
        <v>1419</v>
      </c>
      <c r="H113" s="47" t="s">
        <v>1420</v>
      </c>
      <c r="I113" s="47" t="s">
        <v>1421</v>
      </c>
      <c r="J113" s="47" t="s">
        <v>1422</v>
      </c>
      <c r="K113" s="47" t="s">
        <v>1259</v>
      </c>
      <c r="L113" s="47" t="s">
        <v>1423</v>
      </c>
      <c r="M113" s="48" t="str">
        <f>HYPERLINK("https://law.justia.com/cases/new-york/other-courts/2021/2021-ny-slip-op-50679-u.html","https://law.justia.com/cases/new-york/other-courts/2021/2021-ny-slip-op-50679-u.html")</f>
        <v>https://law.justia.com/cases/new-york/other-courts/2021/2021-ny-slip-op-50679-u.html</v>
      </c>
      <c r="N113" s="47" t="s">
        <v>1424</v>
      </c>
      <c r="O113" s="47" t="s">
        <v>1425</v>
      </c>
      <c r="P113" s="46" t="s">
        <v>1361</v>
      </c>
      <c r="Q113" s="46" t="s">
        <v>20</v>
      </c>
    </row>
    <row r="114" spans="1:17" ht="179.75" customHeight="1" x14ac:dyDescent="0.35">
      <c r="A114" s="46" t="s">
        <v>1426</v>
      </c>
      <c r="B114" s="46" t="s">
        <v>107</v>
      </c>
      <c r="C114" s="47" t="s">
        <v>1427</v>
      </c>
      <c r="D114" s="47" t="s">
        <v>195</v>
      </c>
      <c r="E114" s="46" t="s">
        <v>1428</v>
      </c>
      <c r="F114" s="47" t="s">
        <v>1429</v>
      </c>
      <c r="G114" s="46" t="s">
        <v>1430</v>
      </c>
      <c r="H114" s="47" t="s">
        <v>1431</v>
      </c>
      <c r="I114" s="47" t="s">
        <v>1432</v>
      </c>
      <c r="J114" s="47" t="s">
        <v>1433</v>
      </c>
      <c r="K114" s="47" t="s">
        <v>1434</v>
      </c>
      <c r="L114" s="47" t="s">
        <v>1435</v>
      </c>
      <c r="M114" s="48" t="str">
        <f>HYPERLINK("https://law.justia.com/cases/california/court-of-appeal/2024/a166299.html","https://law.justia.com/cases/california/court-of-appeal/2024/a166299.html")</f>
        <v>https://law.justia.com/cases/california/court-of-appeal/2024/a166299.html</v>
      </c>
      <c r="N114" s="47" t="s">
        <v>1436</v>
      </c>
      <c r="O114" s="47" t="s">
        <v>1437</v>
      </c>
      <c r="P114" s="46" t="s">
        <v>1438</v>
      </c>
      <c r="Q114" s="46" t="s">
        <v>20</v>
      </c>
    </row>
    <row r="115" spans="1:17" ht="179.75" customHeight="1" x14ac:dyDescent="0.35">
      <c r="A115" s="46" t="s">
        <v>1439</v>
      </c>
      <c r="B115" s="46" t="s">
        <v>107</v>
      </c>
      <c r="C115" s="47" t="s">
        <v>1440</v>
      </c>
      <c r="D115" s="47" t="s">
        <v>109</v>
      </c>
      <c r="E115" s="46" t="s">
        <v>1441</v>
      </c>
      <c r="F115" s="47" t="s">
        <v>1442</v>
      </c>
      <c r="G115" s="46" t="s">
        <v>1443</v>
      </c>
      <c r="H115" s="47" t="s">
        <v>1444</v>
      </c>
      <c r="I115" s="47" t="s">
        <v>1445</v>
      </c>
      <c r="J115" s="47" t="s">
        <v>1446</v>
      </c>
      <c r="K115" s="47" t="s">
        <v>1447</v>
      </c>
      <c r="L115" s="47" t="s">
        <v>1448</v>
      </c>
      <c r="M115" s="48" t="str">
        <f>HYPERLINK("https://law.justia.com/cases/federal/appellate-courts/ca9/15-17383/15-17383-2018-06-25.html","https://law.justia.com/cases/federal/appellate-courts/ca9/15-17383/15-17383-2018-06-25.html")</f>
        <v>https://law.justia.com/cases/federal/appellate-courts/ca9/15-17383/15-17383-2018-06-25.html</v>
      </c>
      <c r="N115" s="47" t="s">
        <v>1449</v>
      </c>
      <c r="O115" s="47" t="s">
        <v>1450</v>
      </c>
      <c r="P115" s="46" t="s">
        <v>1451</v>
      </c>
      <c r="Q115" s="46" t="s">
        <v>20</v>
      </c>
    </row>
    <row r="116" spans="1:17" ht="179.75" customHeight="1" x14ac:dyDescent="0.35">
      <c r="A116" s="46" t="s">
        <v>1452</v>
      </c>
      <c r="B116" s="46" t="s">
        <v>107</v>
      </c>
      <c r="C116" s="47" t="s">
        <v>1440</v>
      </c>
      <c r="D116" s="47" t="s">
        <v>195</v>
      </c>
      <c r="E116" s="46" t="s">
        <v>1453</v>
      </c>
      <c r="F116" s="47" t="s">
        <v>1442</v>
      </c>
      <c r="G116" s="46" t="s">
        <v>1454</v>
      </c>
      <c r="H116" s="47" t="s">
        <v>1455</v>
      </c>
      <c r="I116" s="47" t="s">
        <v>1456</v>
      </c>
      <c r="J116" s="47" t="s">
        <v>1457</v>
      </c>
      <c r="K116" s="47" t="s">
        <v>1447</v>
      </c>
      <c r="L116" s="47" t="s">
        <v>1458</v>
      </c>
      <c r="M116" s="48" t="str">
        <f>HYPERLINK("https://law.justia.com/cases/federal/appellate-courts/ca9/14-56927/14-56927-2017-01-13.html","https://law.justia.com/cases/federal/appellate-courts/ca9/14-56927/14-56927-2017-01-13.html")</f>
        <v>https://law.justia.com/cases/federal/appellate-courts/ca9/14-56927/14-56927-2017-01-13.html</v>
      </c>
      <c r="N116" s="47" t="s">
        <v>1459</v>
      </c>
      <c r="O116" s="47" t="s">
        <v>1460</v>
      </c>
      <c r="P116" s="46" t="s">
        <v>1461</v>
      </c>
      <c r="Q116" s="46" t="s">
        <v>20</v>
      </c>
    </row>
    <row r="117" spans="1:17" ht="179.75" customHeight="1" x14ac:dyDescent="0.35">
      <c r="A117" s="46" t="s">
        <v>1462</v>
      </c>
      <c r="B117" s="46" t="s">
        <v>107</v>
      </c>
      <c r="C117" s="47" t="s">
        <v>1440</v>
      </c>
      <c r="D117" s="47" t="s">
        <v>195</v>
      </c>
      <c r="E117" s="46" t="s">
        <v>1463</v>
      </c>
      <c r="F117" s="47" t="s">
        <v>1464</v>
      </c>
      <c r="G117" s="46" t="s">
        <v>1465</v>
      </c>
      <c r="H117" s="47" t="s">
        <v>1466</v>
      </c>
      <c r="I117" s="47" t="s">
        <v>1467</v>
      </c>
      <c r="J117" s="47" t="s">
        <v>1468</v>
      </c>
      <c r="K117" s="47" t="s">
        <v>1447</v>
      </c>
      <c r="L117" s="47" t="s">
        <v>1469</v>
      </c>
      <c r="M117" s="48" t="str">
        <f>HYPERLINK("https://law.justia.com/cases/federal/appellate-courts/ca9/19-55393/19-55393-2020-11-25.html","https://law.justia.com/cases/federal/appellate-courts/ca9/19-55393/19-55393-2020-11-25.html")</f>
        <v>https://law.justia.com/cases/federal/appellate-courts/ca9/19-55393/19-55393-2020-11-25.html</v>
      </c>
      <c r="N117" s="47" t="s">
        <v>1459</v>
      </c>
      <c r="O117" s="47" t="s">
        <v>1470</v>
      </c>
      <c r="P117" s="46" t="s">
        <v>1471</v>
      </c>
      <c r="Q117" s="46" t="s">
        <v>20</v>
      </c>
    </row>
    <row r="118" spans="1:17" ht="179.75" customHeight="1" x14ac:dyDescent="0.35">
      <c r="A118" s="46" t="s">
        <v>1472</v>
      </c>
      <c r="B118" s="46" t="s">
        <v>107</v>
      </c>
      <c r="C118" s="47" t="s">
        <v>1473</v>
      </c>
      <c r="D118" s="47" t="s">
        <v>135</v>
      </c>
      <c r="E118" s="46" t="s">
        <v>1474</v>
      </c>
      <c r="F118" s="47" t="s">
        <v>1475</v>
      </c>
      <c r="G118" s="46" t="s">
        <v>1476</v>
      </c>
      <c r="H118" s="47" t="s">
        <v>1477</v>
      </c>
      <c r="I118" s="47" t="s">
        <v>1478</v>
      </c>
      <c r="J118" s="47" t="s">
        <v>1479</v>
      </c>
      <c r="K118" s="47" t="s">
        <v>1447</v>
      </c>
      <c r="L118" s="47" t="s">
        <v>1480</v>
      </c>
      <c r="M118" s="48" t="str">
        <f>HYPERLINK("https://law.justia.com/cases/federal/appellate-courts/ca11/15-14136/15-14136-2016-11-09.html","https://law.justia.com/cases/federal/appellate-courts/ca11/15-14136/15-14136-2016-11-09.html")</f>
        <v>https://law.justia.com/cases/federal/appellate-courts/ca11/15-14136/15-14136-2016-11-09.html</v>
      </c>
      <c r="N118" s="47" t="s">
        <v>1481</v>
      </c>
      <c r="O118" s="47" t="s">
        <v>1482</v>
      </c>
      <c r="P118" s="46" t="s">
        <v>1483</v>
      </c>
      <c r="Q118" s="46" t="s">
        <v>20</v>
      </c>
    </row>
    <row r="119" spans="1:17" ht="179.75" customHeight="1" x14ac:dyDescent="0.35">
      <c r="A119" s="46" t="s">
        <v>1484</v>
      </c>
      <c r="B119" s="46" t="s">
        <v>107</v>
      </c>
      <c r="C119" s="47" t="s">
        <v>1485</v>
      </c>
      <c r="D119" s="47" t="s">
        <v>1486</v>
      </c>
      <c r="E119" s="46" t="s">
        <v>1487</v>
      </c>
      <c r="F119" s="47" t="s">
        <v>1488</v>
      </c>
      <c r="G119" s="46" t="s">
        <v>1489</v>
      </c>
      <c r="H119" s="47" t="s">
        <v>1490</v>
      </c>
      <c r="I119" s="47" t="s">
        <v>1491</v>
      </c>
      <c r="J119" s="47" t="s">
        <v>1492</v>
      </c>
      <c r="K119" s="47" t="s">
        <v>1447</v>
      </c>
      <c r="L119" s="47" t="s">
        <v>1493</v>
      </c>
      <c r="M119" s="48" t="str">
        <f>HYPERLINK("https://law.justia.com/cases/federal/appellate-courts/ca6/13-2026/13-2026-2014-07-16.html","https://law.justia.com/cases/federal/appellate-courts/ca6/13-2026/13-2026-2014-07-16.html")</f>
        <v>https://law.justia.com/cases/federal/appellate-courts/ca6/13-2026/13-2026-2014-07-16.html</v>
      </c>
      <c r="N119" s="47" t="s">
        <v>1494</v>
      </c>
      <c r="O119" s="47" t="s">
        <v>1495</v>
      </c>
      <c r="P119" s="46" t="s">
        <v>1496</v>
      </c>
      <c r="Q119" s="46" t="s">
        <v>20</v>
      </c>
    </row>
    <row r="120" spans="1:17" ht="179.75" customHeight="1" x14ac:dyDescent="0.35">
      <c r="A120" s="46" t="s">
        <v>1497</v>
      </c>
      <c r="B120" s="46" t="s">
        <v>107</v>
      </c>
      <c r="C120" s="47" t="s">
        <v>1498</v>
      </c>
      <c r="D120" s="47" t="s">
        <v>282</v>
      </c>
      <c r="E120" s="46" t="s">
        <v>1499</v>
      </c>
      <c r="F120" s="47" t="s">
        <v>110</v>
      </c>
      <c r="G120" s="46" t="s">
        <v>1500</v>
      </c>
      <c r="H120" s="47" t="s">
        <v>1501</v>
      </c>
      <c r="I120" s="47" t="s">
        <v>1502</v>
      </c>
      <c r="J120" s="47" t="s">
        <v>1503</v>
      </c>
      <c r="K120" s="47" t="s">
        <v>1504</v>
      </c>
      <c r="L120" s="47" t="s">
        <v>1505</v>
      </c>
      <c r="M120" s="48" t="str">
        <f>HYPERLINK("https://law.justia.com/cases/maryland/court-of-appeals/2020/3-19.html","https://law.justia.com/cases/maryland/court-of-appeals/2020/3-19.html")</f>
        <v>https://law.justia.com/cases/maryland/court-of-appeals/2020/3-19.html</v>
      </c>
      <c r="N120" s="47" t="s">
        <v>1506</v>
      </c>
      <c r="O120" s="47" t="s">
        <v>1507</v>
      </c>
      <c r="P120" s="46" t="s">
        <v>1508</v>
      </c>
      <c r="Q120" s="46" t="s">
        <v>20</v>
      </c>
    </row>
    <row r="121" spans="1:17" ht="179.75" customHeight="1" x14ac:dyDescent="0.35">
      <c r="A121" s="46" t="s">
        <v>1509</v>
      </c>
      <c r="B121" s="46" t="s">
        <v>107</v>
      </c>
      <c r="C121" s="47" t="s">
        <v>1510</v>
      </c>
      <c r="D121" s="47" t="s">
        <v>282</v>
      </c>
      <c r="E121" s="46" t="s">
        <v>1511</v>
      </c>
      <c r="F121" s="47" t="s">
        <v>1512</v>
      </c>
      <c r="G121" s="46" t="s">
        <v>1513</v>
      </c>
      <c r="H121" s="47" t="s">
        <v>1514</v>
      </c>
      <c r="I121" s="47" t="s">
        <v>1515</v>
      </c>
      <c r="J121" s="47" t="s">
        <v>1516</v>
      </c>
      <c r="K121" s="47" t="s">
        <v>1504</v>
      </c>
      <c r="L121" s="47" t="s">
        <v>1517</v>
      </c>
      <c r="M121" s="48" t="str">
        <f>HYPERLINK("https://law.justia.com/cases/maryland/court-of-appeals/2020/5-19.html","https://law.justia.com/cases/maryland/court-of-appeals/2020/5-19.html")</f>
        <v>https://law.justia.com/cases/maryland/court-of-appeals/2020/5-19.html</v>
      </c>
      <c r="N121" s="47" t="s">
        <v>1518</v>
      </c>
      <c r="O121" s="47" t="s">
        <v>1519</v>
      </c>
      <c r="P121" s="46" t="s">
        <v>1520</v>
      </c>
      <c r="Q121" s="46" t="s">
        <v>20</v>
      </c>
    </row>
    <row r="122" spans="1:17" ht="179.75" customHeight="1" x14ac:dyDescent="0.35">
      <c r="A122" s="46" t="s">
        <v>1521</v>
      </c>
      <c r="B122" s="46" t="s">
        <v>107</v>
      </c>
      <c r="C122" s="47" t="s">
        <v>1522</v>
      </c>
      <c r="D122" s="47" t="s">
        <v>309</v>
      </c>
      <c r="E122" s="46" t="s">
        <v>1523</v>
      </c>
      <c r="F122" s="47" t="s">
        <v>1524</v>
      </c>
      <c r="G122" s="46" t="s">
        <v>1525</v>
      </c>
      <c r="H122" s="47" t="s">
        <v>1526</v>
      </c>
      <c r="I122" s="47" t="s">
        <v>1527</v>
      </c>
      <c r="J122" s="47" t="s">
        <v>1528</v>
      </c>
      <c r="K122" s="47" t="s">
        <v>1504</v>
      </c>
      <c r="L122" s="47" t="s">
        <v>1529</v>
      </c>
      <c r="M122" s="48" t="str">
        <f>HYPERLINK("https://law.justia.com/cases/nevada/supreme-court/2013/56527.html","https://law.justia.com/cases/nevada/supreme-court/2013/56527.html")</f>
        <v>https://law.justia.com/cases/nevada/supreme-court/2013/56527.html</v>
      </c>
      <c r="N122" s="47" t="s">
        <v>1530</v>
      </c>
      <c r="O122" s="47" t="s">
        <v>1531</v>
      </c>
      <c r="P122" s="46" t="s">
        <v>1532</v>
      </c>
      <c r="Q122" s="46" t="s">
        <v>20</v>
      </c>
    </row>
    <row r="123" spans="1:17" ht="179.75" customHeight="1" x14ac:dyDescent="0.35">
      <c r="A123" s="46" t="s">
        <v>1533</v>
      </c>
      <c r="B123" s="46" t="s">
        <v>107</v>
      </c>
      <c r="C123" s="49" t="s">
        <v>1485</v>
      </c>
      <c r="D123" s="49" t="s">
        <v>122</v>
      </c>
      <c r="E123" s="46" t="s">
        <v>1534</v>
      </c>
      <c r="F123" s="49" t="s">
        <v>1535</v>
      </c>
      <c r="G123" s="46" t="s">
        <v>1536</v>
      </c>
      <c r="H123" s="49" t="s">
        <v>1537</v>
      </c>
      <c r="I123" s="49" t="s">
        <v>1538</v>
      </c>
      <c r="J123" s="49" t="s">
        <v>1539</v>
      </c>
      <c r="K123" s="49" t="s">
        <v>1540</v>
      </c>
      <c r="L123" s="49" t="s">
        <v>1541</v>
      </c>
      <c r="M123" s="48" t="str">
        <f>HYPERLINK("https://law.justia.com/cases/texas/fourteenth-court-of-appeals/2019/14-17-00181-cv.html","https://law.justia.com/cases/texas/fourteenth-court-of-appeals/2019/14-17-00181-cv.html")</f>
        <v>https://law.justia.com/cases/texas/fourteenth-court-of-appeals/2019/14-17-00181-cv.html</v>
      </c>
      <c r="N123" s="49" t="s">
        <v>1542</v>
      </c>
      <c r="O123" s="49" t="s">
        <v>1543</v>
      </c>
      <c r="P123" s="46" t="s">
        <v>1544</v>
      </c>
      <c r="Q123" s="49" t="s">
        <v>20</v>
      </c>
    </row>
    <row r="124" spans="1:17" ht="179.75" customHeight="1" x14ac:dyDescent="0.35">
      <c r="A124" s="46" t="s">
        <v>1545</v>
      </c>
      <c r="B124" s="46" t="s">
        <v>107</v>
      </c>
      <c r="C124" s="49" t="s">
        <v>1546</v>
      </c>
      <c r="D124" s="49" t="s">
        <v>122</v>
      </c>
      <c r="E124" s="46" t="s">
        <v>1547</v>
      </c>
      <c r="F124" s="49" t="s">
        <v>1548</v>
      </c>
      <c r="G124" s="46" t="s">
        <v>1549</v>
      </c>
      <c r="H124" s="49" t="s">
        <v>1550</v>
      </c>
      <c r="I124" s="49" t="s">
        <v>1551</v>
      </c>
      <c r="J124" s="49" t="s">
        <v>1552</v>
      </c>
      <c r="K124" s="49" t="s">
        <v>1553</v>
      </c>
      <c r="L124" s="49" t="s">
        <v>1554</v>
      </c>
      <c r="M124" s="48" t="str">
        <f>HYPERLINK("https://law.justia.com/cases/texas/fourteenth-court-of-appeals/2020/14-18-00399-cv.html","https://law.justia.com/cases/texas/fourteenth-court-of-appeals/2020/14-18-00399-cv.html")</f>
        <v>https://law.justia.com/cases/texas/fourteenth-court-of-appeals/2020/14-18-00399-cv.html</v>
      </c>
      <c r="N124" s="49" t="s">
        <v>1555</v>
      </c>
      <c r="O124" s="49" t="s">
        <v>1556</v>
      </c>
      <c r="P124" s="46" t="s">
        <v>1557</v>
      </c>
      <c r="Q124" s="49" t="s">
        <v>20</v>
      </c>
    </row>
    <row r="125" spans="1:17" ht="179.75" customHeight="1" x14ac:dyDescent="0.35">
      <c r="A125" s="46" t="s">
        <v>1558</v>
      </c>
      <c r="B125" s="46" t="s">
        <v>107</v>
      </c>
      <c r="C125" s="49" t="s">
        <v>1559</v>
      </c>
      <c r="D125" s="49" t="s">
        <v>1560</v>
      </c>
      <c r="E125" s="46" t="s">
        <v>1561</v>
      </c>
      <c r="F125" s="49" t="s">
        <v>1562</v>
      </c>
      <c r="G125" s="46" t="s">
        <v>1563</v>
      </c>
      <c r="H125" s="49" t="s">
        <v>1564</v>
      </c>
      <c r="I125" s="49" t="s">
        <v>1565</v>
      </c>
      <c r="J125" s="49" t="s">
        <v>1566</v>
      </c>
      <c r="K125" s="49" t="s">
        <v>1567</v>
      </c>
      <c r="L125" s="49" t="s">
        <v>1568</v>
      </c>
      <c r="M125" s="48" t="str">
        <f>HYPERLINK("https://law.justia.com/cases/federal/district-courts/washington/wawdce/2%3A2020cv01206/288248/55/","https://law.justia.com/cases/federal/district-courts/washington/wawdce/2%3A2020cv01206/288248/55/")</f>
        <v>https://law.justia.com/cases/federal/district-courts/washington/wawdce/2%3A2020cv01206/288248/55/</v>
      </c>
      <c r="N125" s="49" t="s">
        <v>1569</v>
      </c>
      <c r="O125" s="49" t="s">
        <v>1570</v>
      </c>
      <c r="P125" s="46" t="s">
        <v>1571</v>
      </c>
      <c r="Q125" s="49" t="s">
        <v>20</v>
      </c>
    </row>
    <row r="126" spans="1:17" ht="179.75" customHeight="1" x14ac:dyDescent="0.35">
      <c r="A126" s="46" t="s">
        <v>1572</v>
      </c>
      <c r="B126" s="46" t="s">
        <v>107</v>
      </c>
      <c r="C126" s="47" t="s">
        <v>1573</v>
      </c>
      <c r="D126" s="47" t="s">
        <v>504</v>
      </c>
      <c r="E126" s="46" t="s">
        <v>1574</v>
      </c>
      <c r="F126" s="47" t="s">
        <v>1575</v>
      </c>
      <c r="G126" s="46" t="s">
        <v>1576</v>
      </c>
      <c r="H126" s="47" t="s">
        <v>1577</v>
      </c>
      <c r="I126" s="47" t="s">
        <v>1578</v>
      </c>
      <c r="J126" s="47" t="s">
        <v>1579</v>
      </c>
      <c r="K126" s="47" t="s">
        <v>1580</v>
      </c>
      <c r="L126" s="47" t="s">
        <v>1581</v>
      </c>
      <c r="M126" s="48" t="str">
        <f>HYPERLINK("https://law.justia.com/cases/federal/district-courts/tennessee/tnedce/3%3A2021cv00298/100949/27/","https://law.justia.com/cases/federal/district-courts/tennessee/tnedce/3%3A2021cv00298/100949/27/")</f>
        <v>https://law.justia.com/cases/federal/district-courts/tennessee/tnedce/3%3A2021cv00298/100949/27/</v>
      </c>
      <c r="N126" s="47" t="s">
        <v>1582</v>
      </c>
      <c r="O126" s="47" t="s">
        <v>1583</v>
      </c>
      <c r="P126" s="46" t="s">
        <v>1584</v>
      </c>
      <c r="Q126" s="46" t="s">
        <v>20</v>
      </c>
    </row>
    <row r="127" spans="1:17" ht="179.75" customHeight="1" x14ac:dyDescent="0.35">
      <c r="A127" s="46" t="s">
        <v>1585</v>
      </c>
      <c r="B127" s="46" t="s">
        <v>107</v>
      </c>
      <c r="C127" s="47" t="s">
        <v>1586</v>
      </c>
      <c r="D127" s="47" t="s">
        <v>122</v>
      </c>
      <c r="E127" s="46" t="s">
        <v>1587</v>
      </c>
      <c r="F127" s="47" t="s">
        <v>1588</v>
      </c>
      <c r="G127" s="46" t="s">
        <v>1589</v>
      </c>
      <c r="H127" s="47" t="s">
        <v>1590</v>
      </c>
      <c r="I127" s="47" t="s">
        <v>1591</v>
      </c>
      <c r="J127" s="47" t="s">
        <v>1592</v>
      </c>
      <c r="K127" s="47" t="s">
        <v>1593</v>
      </c>
      <c r="L127" s="47" t="s">
        <v>1594</v>
      </c>
      <c r="M127" s="48" t="str">
        <f>HYPERLINK("https://law.justia.com/cases/texas/first-court-of-appeals/2015/01-15-00169-cv.html","https://law.justia.com/cases/texas/first-court-of-appeals/2015/01-15-00169-cv.html")</f>
        <v>https://law.justia.com/cases/texas/first-court-of-appeals/2015/01-15-00169-cv.html</v>
      </c>
      <c r="N127" s="47" t="s">
        <v>1595</v>
      </c>
      <c r="O127" s="47" t="s">
        <v>1596</v>
      </c>
      <c r="P127" s="46" t="s">
        <v>1597</v>
      </c>
      <c r="Q127" s="46" t="s">
        <v>20</v>
      </c>
    </row>
    <row r="128" spans="1:17" ht="179.75" customHeight="1" x14ac:dyDescent="0.35">
      <c r="A128" s="46" t="s">
        <v>1598</v>
      </c>
      <c r="B128" s="46" t="s">
        <v>107</v>
      </c>
      <c r="C128" s="47" t="s">
        <v>1599</v>
      </c>
      <c r="D128" s="47" t="s">
        <v>517</v>
      </c>
      <c r="E128" s="46" t="s">
        <v>1600</v>
      </c>
      <c r="F128" s="47" t="s">
        <v>1601</v>
      </c>
      <c r="G128" s="46" t="s">
        <v>1602</v>
      </c>
      <c r="H128" s="47" t="s">
        <v>1603</v>
      </c>
      <c r="I128" s="47" t="s">
        <v>1604</v>
      </c>
      <c r="J128" s="47" t="s">
        <v>1605</v>
      </c>
      <c r="K128" s="47" t="s">
        <v>1606</v>
      </c>
      <c r="L128" s="47" t="s">
        <v>1607</v>
      </c>
      <c r="M128" s="48" t="str">
        <f>HYPERLINK("https://law.justia.com/cases/federal/district-courts/north-carolina/ncedce/5%3A2022cv00302/195624/85/","https://law.justia.com/cases/federal/district-courts/north-carolina/ncedce/5%3A2022cv00302/195624/85/")</f>
        <v>https://law.justia.com/cases/federal/district-courts/north-carolina/ncedce/5%3A2022cv00302/195624/85/</v>
      </c>
      <c r="N128" s="47" t="s">
        <v>1608</v>
      </c>
      <c r="O128" s="47" t="s">
        <v>1609</v>
      </c>
      <c r="P128" s="46" t="s">
        <v>1610</v>
      </c>
      <c r="Q128" s="46" t="s">
        <v>20</v>
      </c>
    </row>
    <row r="129" spans="1:17" ht="179.75" customHeight="1" x14ac:dyDescent="0.35">
      <c r="A129" s="46" t="s">
        <v>1611</v>
      </c>
      <c r="B129" s="46" t="s">
        <v>107</v>
      </c>
      <c r="C129" s="47" t="s">
        <v>1612</v>
      </c>
      <c r="D129" s="47" t="s">
        <v>149</v>
      </c>
      <c r="E129" s="46" t="s">
        <v>1613</v>
      </c>
      <c r="F129" s="47" t="s">
        <v>1614</v>
      </c>
      <c r="G129" s="46" t="s">
        <v>1615</v>
      </c>
      <c r="H129" s="47" t="s">
        <v>1616</v>
      </c>
      <c r="I129" s="47" t="s">
        <v>1617</v>
      </c>
      <c r="J129" s="47" t="s">
        <v>1618</v>
      </c>
      <c r="K129" s="47" t="s">
        <v>1619</v>
      </c>
      <c r="L129" s="47" t="s">
        <v>1620</v>
      </c>
      <c r="M129" s="48" t="str">
        <f>HYPERLINK("https://law.justia.com/cases/new-york/other-courts/2025/2025-ny-slip-op-35225-u.html","https://law.justia.com/cases/new-york/other-courts/2025/2025-ny-slip-op-35225-u.html")</f>
        <v>https://law.justia.com/cases/new-york/other-courts/2025/2025-ny-slip-op-35225-u.html</v>
      </c>
      <c r="N129" s="47" t="s">
        <v>1621</v>
      </c>
      <c r="O129" s="47" t="s">
        <v>1622</v>
      </c>
      <c r="P129" s="46" t="s">
        <v>1623</v>
      </c>
      <c r="Q129" s="46" t="s">
        <v>20</v>
      </c>
    </row>
    <row r="130" spans="1:17" ht="179.75" customHeight="1" x14ac:dyDescent="0.35">
      <c r="A130" s="46" t="s">
        <v>1624</v>
      </c>
      <c r="B130" s="46" t="s">
        <v>107</v>
      </c>
      <c r="C130" s="47" t="s">
        <v>1625</v>
      </c>
      <c r="D130" s="47" t="s">
        <v>122</v>
      </c>
      <c r="E130" s="46" t="s">
        <v>1626</v>
      </c>
      <c r="F130" s="47" t="s">
        <v>1627</v>
      </c>
      <c r="G130" s="46" t="s">
        <v>1628</v>
      </c>
      <c r="H130" s="47" t="s">
        <v>1629</v>
      </c>
      <c r="I130" s="47" t="s">
        <v>1630</v>
      </c>
      <c r="J130" s="47" t="s">
        <v>1631</v>
      </c>
      <c r="K130" s="47" t="s">
        <v>1593</v>
      </c>
      <c r="L130" s="47" t="s">
        <v>1632</v>
      </c>
      <c r="M130" s="48" t="str">
        <f>HYPERLINK("https://law.justia.com/cases/texas/fourteenth-court-of-appeals/2025/14-24-00076-cv.html","https://law.justia.com/cases/texas/fourteenth-court-of-appeals/2025/14-24-00076-cv.html")</f>
        <v>https://law.justia.com/cases/texas/fourteenth-court-of-appeals/2025/14-24-00076-cv.html</v>
      </c>
      <c r="N130" s="47" t="s">
        <v>1633</v>
      </c>
      <c r="O130" s="47" t="s">
        <v>1634</v>
      </c>
      <c r="P130" s="46" t="s">
        <v>1635</v>
      </c>
      <c r="Q130" s="46" t="s">
        <v>20</v>
      </c>
    </row>
    <row r="131" spans="1:17" ht="179.75" customHeight="1" x14ac:dyDescent="0.35">
      <c r="A131" s="46" t="s">
        <v>1636</v>
      </c>
      <c r="B131" s="46" t="s">
        <v>107</v>
      </c>
      <c r="C131" s="47" t="s">
        <v>1637</v>
      </c>
      <c r="D131" s="47" t="s">
        <v>442</v>
      </c>
      <c r="E131" s="46" t="s">
        <v>1638</v>
      </c>
      <c r="F131" s="47" t="s">
        <v>1639</v>
      </c>
      <c r="G131" s="46" t="s">
        <v>1640</v>
      </c>
      <c r="H131" s="47" t="s">
        <v>1641</v>
      </c>
      <c r="I131" s="47" t="s">
        <v>1642</v>
      </c>
      <c r="J131" s="47" t="s">
        <v>1643</v>
      </c>
      <c r="K131" s="47" t="s">
        <v>1644</v>
      </c>
      <c r="L131" s="47" t="s">
        <v>1645</v>
      </c>
      <c r="M131" s="48" t="str">
        <f>HYPERLINK("https://law.justia.com/cases/federal/district-courts/south-carolina/scdce/2%3A2017cv01727/236571/58/","https://law.justia.com/cases/federal/district-courts/south-carolina/scdce/2%3A2017cv01727/236571/58/")</f>
        <v>https://law.justia.com/cases/federal/district-courts/south-carolina/scdce/2%3A2017cv01727/236571/58/</v>
      </c>
      <c r="N131" s="47" t="s">
        <v>1646</v>
      </c>
      <c r="O131" s="47" t="s">
        <v>1647</v>
      </c>
      <c r="P131" s="46" t="s">
        <v>1648</v>
      </c>
      <c r="Q131" s="46" t="s">
        <v>20</v>
      </c>
    </row>
    <row r="132" spans="1:17" ht="179.75" customHeight="1" x14ac:dyDescent="0.35">
      <c r="A132" s="46" t="s">
        <v>1649</v>
      </c>
      <c r="B132" s="46" t="s">
        <v>1650</v>
      </c>
      <c r="C132" s="47" t="s">
        <v>1651</v>
      </c>
      <c r="D132" s="47" t="s">
        <v>195</v>
      </c>
      <c r="E132" s="46" t="s">
        <v>1652</v>
      </c>
      <c r="F132" s="47" t="s">
        <v>1653</v>
      </c>
      <c r="G132" s="46" t="s">
        <v>1654</v>
      </c>
      <c r="H132" s="47" t="s">
        <v>1655</v>
      </c>
      <c r="I132" s="47" t="s">
        <v>1656</v>
      </c>
      <c r="J132" s="47" t="s">
        <v>1657</v>
      </c>
      <c r="K132" s="47" t="s">
        <v>1658</v>
      </c>
      <c r="L132" s="47" t="s">
        <v>1659</v>
      </c>
      <c r="M132" s="48" t="str">
        <f>HYPERLINK("https://www.epsten.com/nabatmama-v-ross-morgan-co-inc/","https://www.epsten.com/nabatmama-v-ross-morgan-co-inc/")</f>
        <v>https://www.epsten.com/nabatmama-v-ross-morgan-co-inc/</v>
      </c>
      <c r="N132" s="47" t="s">
        <v>1660</v>
      </c>
      <c r="O132" s="47" t="s">
        <v>1661</v>
      </c>
      <c r="P132" s="46" t="s">
        <v>1662</v>
      </c>
      <c r="Q132" s="46" t="s">
        <v>20</v>
      </c>
    </row>
    <row r="133" spans="1:17" ht="179.75" customHeight="1" x14ac:dyDescent="0.35">
      <c r="A133" s="46" t="s">
        <v>1663</v>
      </c>
      <c r="B133" s="46" t="s">
        <v>107</v>
      </c>
      <c r="C133" s="47" t="s">
        <v>1664</v>
      </c>
      <c r="D133" s="47" t="s">
        <v>756</v>
      </c>
      <c r="E133" s="46" t="s">
        <v>1665</v>
      </c>
      <c r="F133" s="47" t="s">
        <v>1666</v>
      </c>
      <c r="G133" s="46" t="s">
        <v>1667</v>
      </c>
      <c r="H133" s="47" t="s">
        <v>1668</v>
      </c>
      <c r="I133" s="47" t="s">
        <v>1669</v>
      </c>
      <c r="J133" s="47" t="s">
        <v>1670</v>
      </c>
      <c r="K133" s="47" t="s">
        <v>1593</v>
      </c>
      <c r="L133" s="47" t="s">
        <v>1671</v>
      </c>
      <c r="M133" s="48" t="str">
        <f>HYPERLINK("https://law.justia.com/cases/pennsylvania/commonwealth-court/2025/1439-c-d-2023.html","https://law.justia.com/cases/pennsylvania/commonwealth-court/2025/1439-c-d-2023.html")</f>
        <v>https://law.justia.com/cases/pennsylvania/commonwealth-court/2025/1439-c-d-2023.html</v>
      </c>
      <c r="N133" s="47" t="s">
        <v>1672</v>
      </c>
      <c r="O133" s="47" t="s">
        <v>1673</v>
      </c>
      <c r="P133" s="46" t="s">
        <v>1674</v>
      </c>
      <c r="Q133" s="46" t="s">
        <v>20</v>
      </c>
    </row>
    <row r="134" spans="1:17" ht="179.75" customHeight="1" x14ac:dyDescent="0.35">
      <c r="A134" s="46" t="s">
        <v>1675</v>
      </c>
      <c r="B134" s="46" t="s">
        <v>107</v>
      </c>
      <c r="C134" s="47" t="s">
        <v>1676</v>
      </c>
      <c r="D134" s="47" t="s">
        <v>1677</v>
      </c>
      <c r="E134" s="46" t="s">
        <v>1678</v>
      </c>
      <c r="F134" s="47" t="s">
        <v>1679</v>
      </c>
      <c r="G134" s="46" t="s">
        <v>1680</v>
      </c>
      <c r="H134" s="47" t="s">
        <v>1681</v>
      </c>
      <c r="I134" s="47" t="s">
        <v>1682</v>
      </c>
      <c r="J134" s="47" t="s">
        <v>1683</v>
      </c>
      <c r="K134" s="47" t="s">
        <v>1593</v>
      </c>
      <c r="L134" s="47" t="s">
        <v>1684</v>
      </c>
      <c r="M134" s="48" t="str">
        <f>HYPERLINK("https://law.justia.com/cases/kansas/court-of-appeals/2025/128198.html","https://law.justia.com/cases/kansas/court-of-appeals/2025/128198.html")</f>
        <v>https://law.justia.com/cases/kansas/court-of-appeals/2025/128198.html</v>
      </c>
      <c r="N134" s="47" t="s">
        <v>1685</v>
      </c>
      <c r="O134" s="47" t="s">
        <v>1686</v>
      </c>
      <c r="P134" s="46" t="s">
        <v>1687</v>
      </c>
      <c r="Q134" s="46" t="s">
        <v>20</v>
      </c>
    </row>
    <row r="135" spans="1:17" ht="179.75" customHeight="1" x14ac:dyDescent="0.35">
      <c r="A135" s="46" t="s">
        <v>1688</v>
      </c>
      <c r="B135" s="46" t="s">
        <v>107</v>
      </c>
      <c r="C135" s="47" t="s">
        <v>1689</v>
      </c>
      <c r="D135" s="47" t="s">
        <v>1690</v>
      </c>
      <c r="E135" s="46" t="s">
        <v>1691</v>
      </c>
      <c r="F135" s="47" t="s">
        <v>1548</v>
      </c>
      <c r="G135" s="46" t="s">
        <v>1692</v>
      </c>
      <c r="H135" s="47" t="s">
        <v>1693</v>
      </c>
      <c r="I135" s="47" t="s">
        <v>1694</v>
      </c>
      <c r="J135" s="47" t="s">
        <v>1695</v>
      </c>
      <c r="K135" s="47" t="s">
        <v>1593</v>
      </c>
      <c r="L135" s="47" t="s">
        <v>1696</v>
      </c>
      <c r="M135" s="48" t="str">
        <f>HYPERLINK("https://law.justia.com/cases/hawaii/court-of-appeals/2023/caap-18-0000531.html","https://law.justia.com/cases/hawaii/court-of-appeals/2023/caap-18-0000531.html")</f>
        <v>https://law.justia.com/cases/hawaii/court-of-appeals/2023/caap-18-0000531.html</v>
      </c>
      <c r="N135" s="47" t="s">
        <v>1697</v>
      </c>
      <c r="O135" s="47" t="s">
        <v>1698</v>
      </c>
      <c r="P135" s="46" t="s">
        <v>1699</v>
      </c>
      <c r="Q135" s="46" t="s">
        <v>20</v>
      </c>
    </row>
    <row r="136" spans="1:17" ht="179.75" customHeight="1" x14ac:dyDescent="0.35">
      <c r="A136" s="46" t="s">
        <v>1700</v>
      </c>
      <c r="B136" s="46" t="s">
        <v>107</v>
      </c>
      <c r="C136" s="49" t="s">
        <v>1701</v>
      </c>
      <c r="D136" s="49" t="s">
        <v>719</v>
      </c>
      <c r="E136" s="46" t="s">
        <v>1702</v>
      </c>
      <c r="F136" s="49" t="s">
        <v>1703</v>
      </c>
      <c r="G136" s="46" t="s">
        <v>1704</v>
      </c>
      <c r="H136" s="49" t="s">
        <v>1705</v>
      </c>
      <c r="I136" s="49" t="s">
        <v>1706</v>
      </c>
      <c r="J136" s="49" t="s">
        <v>1707</v>
      </c>
      <c r="K136" s="49" t="s">
        <v>1708</v>
      </c>
      <c r="L136" s="49" t="s">
        <v>1709</v>
      </c>
      <c r="M136" s="48" t="str">
        <f>HYPERLINK("https://law.justia.com/cases/delaware/court-of-chancery/2026/c-a-no-2023-0780-lm-bwd.html","https://law.justia.com/cases/delaware/court-of-chancery/2026/c-a-no-2023-0780-lm-bwd.html")</f>
        <v>https://law.justia.com/cases/delaware/court-of-chancery/2026/c-a-no-2023-0780-lm-bwd.html</v>
      </c>
      <c r="N136" s="49" t="s">
        <v>1710</v>
      </c>
      <c r="O136" s="49" t="s">
        <v>1711</v>
      </c>
      <c r="P136" s="46" t="s">
        <v>1712</v>
      </c>
      <c r="Q136" s="49" t="s">
        <v>20</v>
      </c>
    </row>
    <row r="137" spans="1:17" ht="179.75" customHeight="1" x14ac:dyDescent="0.35">
      <c r="A137" s="46" t="s">
        <v>1713</v>
      </c>
      <c r="B137" s="46" t="s">
        <v>107</v>
      </c>
      <c r="C137" s="49" t="s">
        <v>1714</v>
      </c>
      <c r="D137" s="49" t="s">
        <v>517</v>
      </c>
      <c r="E137" s="46" t="s">
        <v>1715</v>
      </c>
      <c r="F137" s="49" t="s">
        <v>1716</v>
      </c>
      <c r="G137" s="46" t="s">
        <v>1717</v>
      </c>
      <c r="H137" s="49" t="s">
        <v>1718</v>
      </c>
      <c r="I137" s="49" t="s">
        <v>1719</v>
      </c>
      <c r="J137" s="49" t="s">
        <v>1720</v>
      </c>
      <c r="K137" s="49" t="s">
        <v>1721</v>
      </c>
      <c r="L137" s="49" t="s">
        <v>1722</v>
      </c>
      <c r="M137" s="48" t="str">
        <f>HYPERLINK("https://law.justia.com/cases/north-carolina/court-of-appeals/2019/18-547.html","https://law.justia.com/cases/north-carolina/court-of-appeals/2019/18-547.html")</f>
        <v>https://law.justia.com/cases/north-carolina/court-of-appeals/2019/18-547.html</v>
      </c>
      <c r="N137" s="49" t="s">
        <v>1723</v>
      </c>
      <c r="O137" s="49" t="s">
        <v>1724</v>
      </c>
      <c r="P137" s="46" t="s">
        <v>1725</v>
      </c>
      <c r="Q137" s="49" t="s">
        <v>20</v>
      </c>
    </row>
    <row r="138" spans="1:17" ht="179.75" customHeight="1" x14ac:dyDescent="0.35">
      <c r="A138" s="46" t="s">
        <v>1726</v>
      </c>
      <c r="B138" s="46" t="s">
        <v>107</v>
      </c>
      <c r="C138" s="47" t="s">
        <v>1727</v>
      </c>
      <c r="D138" s="47" t="s">
        <v>122</v>
      </c>
      <c r="E138" s="46" t="s">
        <v>1728</v>
      </c>
      <c r="F138" s="47" t="s">
        <v>1729</v>
      </c>
      <c r="G138" s="46" t="s">
        <v>1730</v>
      </c>
      <c r="H138" s="47" t="s">
        <v>1731</v>
      </c>
      <c r="I138" s="47" t="s">
        <v>1732</v>
      </c>
      <c r="J138" s="47" t="s">
        <v>1733</v>
      </c>
      <c r="K138" s="47" t="s">
        <v>1593</v>
      </c>
      <c r="L138" s="47" t="s">
        <v>1734</v>
      </c>
      <c r="M138" s="48" t="str">
        <f>HYPERLINK("https://law.justia.com/cases/texas/first-court-of-appeals/2022/01-20-00597-cv.html","https://law.justia.com/cases/texas/first-court-of-appeals/2022/01-20-00597-cv.html")</f>
        <v>https://law.justia.com/cases/texas/first-court-of-appeals/2022/01-20-00597-cv.html</v>
      </c>
      <c r="N138" s="47" t="s">
        <v>1735</v>
      </c>
      <c r="O138" s="47" t="s">
        <v>1736</v>
      </c>
      <c r="P138" s="46" t="s">
        <v>1737</v>
      </c>
      <c r="Q138" s="46" t="s">
        <v>20</v>
      </c>
    </row>
    <row r="139" spans="1:17" ht="179.75" customHeight="1" x14ac:dyDescent="0.35">
      <c r="A139" s="46" t="s">
        <v>1738</v>
      </c>
      <c r="B139" s="46" t="s">
        <v>107</v>
      </c>
      <c r="C139" s="47" t="s">
        <v>1739</v>
      </c>
      <c r="D139" s="47" t="s">
        <v>850</v>
      </c>
      <c r="E139" s="46" t="s">
        <v>1740</v>
      </c>
      <c r="F139" s="47" t="s">
        <v>1716</v>
      </c>
      <c r="G139" s="46" t="s">
        <v>1741</v>
      </c>
      <c r="H139" s="47" t="s">
        <v>1742</v>
      </c>
      <c r="I139" s="47" t="s">
        <v>1743</v>
      </c>
      <c r="J139" s="47" t="s">
        <v>1744</v>
      </c>
      <c r="K139" s="47" t="s">
        <v>1593</v>
      </c>
      <c r="L139" s="47" t="s">
        <v>1745</v>
      </c>
      <c r="M139" s="48" t="str">
        <f>HYPERLINK("https://law.justia.com/cases/georgia/court-of-appeals/2021/a21a0914.html","https://law.justia.com/cases/georgia/court-of-appeals/2021/a21a0914.html")</f>
        <v>https://law.justia.com/cases/georgia/court-of-appeals/2021/a21a0914.html</v>
      </c>
      <c r="N139" s="47" t="s">
        <v>1746</v>
      </c>
      <c r="O139" s="47" t="s">
        <v>1747</v>
      </c>
      <c r="P139" s="46" t="s">
        <v>1748</v>
      </c>
      <c r="Q139" s="46" t="s">
        <v>20</v>
      </c>
    </row>
    <row r="140" spans="1:17" ht="179.75" customHeight="1" x14ac:dyDescent="0.35">
      <c r="A140" s="46" t="s">
        <v>1749</v>
      </c>
      <c r="B140" s="46" t="s">
        <v>107</v>
      </c>
      <c r="C140" s="47" t="s">
        <v>1750</v>
      </c>
      <c r="D140" s="47" t="s">
        <v>719</v>
      </c>
      <c r="E140" s="46" t="s">
        <v>1751</v>
      </c>
      <c r="F140" s="47" t="s">
        <v>1752</v>
      </c>
      <c r="G140" s="46" t="s">
        <v>1753</v>
      </c>
      <c r="H140" s="47" t="s">
        <v>1754</v>
      </c>
      <c r="I140" s="47" t="s">
        <v>1755</v>
      </c>
      <c r="J140" s="47" t="s">
        <v>1756</v>
      </c>
      <c r="K140" s="47" t="s">
        <v>1757</v>
      </c>
      <c r="L140" s="47" t="s">
        <v>1758</v>
      </c>
      <c r="M140" s="48" t="str">
        <f>HYPERLINK("https://law.justia.com/cases/delaware/court-of-chancery/2021/c-a-no-2018-0159-jtl.html","https://law.justia.com/cases/delaware/court-of-chancery/2021/c-a-no-2018-0159-jtl.html")</f>
        <v>https://law.justia.com/cases/delaware/court-of-chancery/2021/c-a-no-2018-0159-jtl.html</v>
      </c>
      <c r="N140" s="47" t="s">
        <v>1759</v>
      </c>
      <c r="O140" s="47" t="s">
        <v>1760</v>
      </c>
      <c r="P140" s="46" t="s">
        <v>1761</v>
      </c>
      <c r="Q140" s="46" t="s">
        <v>20</v>
      </c>
    </row>
    <row r="141" spans="1:17" ht="179.75" customHeight="1" x14ac:dyDescent="0.35">
      <c r="A141" s="46" t="s">
        <v>1762</v>
      </c>
      <c r="B141" s="46" t="s">
        <v>107</v>
      </c>
      <c r="C141" s="47" t="s">
        <v>1763</v>
      </c>
      <c r="D141" s="47" t="s">
        <v>732</v>
      </c>
      <c r="E141" s="46" t="s">
        <v>1764</v>
      </c>
      <c r="F141" s="47" t="s">
        <v>110</v>
      </c>
      <c r="G141" s="46" t="s">
        <v>1765</v>
      </c>
      <c r="H141" s="47" t="s">
        <v>1766</v>
      </c>
      <c r="I141" s="47" t="s">
        <v>1767</v>
      </c>
      <c r="J141" s="47" t="s">
        <v>1768</v>
      </c>
      <c r="K141" s="47" t="s">
        <v>1769</v>
      </c>
      <c r="L141" s="47" t="s">
        <v>1770</v>
      </c>
      <c r="M141" s="48" t="str">
        <f>HYPERLINK("https://law.justia.com/cases/wisconsin/court-of-appeals/2014/2014ap001157.html","https://law.justia.com/cases/wisconsin/court-of-appeals/2014/2014ap001157.html")</f>
        <v>https://law.justia.com/cases/wisconsin/court-of-appeals/2014/2014ap001157.html</v>
      </c>
      <c r="N141" s="47" t="s">
        <v>1771</v>
      </c>
      <c r="O141" s="47" t="s">
        <v>1772</v>
      </c>
      <c r="P141" s="46" t="s">
        <v>1773</v>
      </c>
      <c r="Q141" s="46" t="s">
        <v>20</v>
      </c>
    </row>
    <row r="142" spans="1:17" ht="179.75" customHeight="1" x14ac:dyDescent="0.35">
      <c r="A142" s="46" t="s">
        <v>1774</v>
      </c>
      <c r="B142" s="46" t="s">
        <v>107</v>
      </c>
      <c r="C142" s="47" t="s">
        <v>1775</v>
      </c>
      <c r="D142" s="47" t="s">
        <v>1276</v>
      </c>
      <c r="E142" s="46" t="s">
        <v>1776</v>
      </c>
      <c r="F142" s="47" t="s">
        <v>1777</v>
      </c>
      <c r="G142" s="46" t="s">
        <v>1778</v>
      </c>
      <c r="H142" s="47" t="s">
        <v>1779</v>
      </c>
      <c r="I142" s="47" t="s">
        <v>1780</v>
      </c>
      <c r="J142" s="47" t="s">
        <v>1781</v>
      </c>
      <c r="K142" s="47" t="s">
        <v>1593</v>
      </c>
      <c r="L142" s="47" t="s">
        <v>1782</v>
      </c>
      <c r="M142" s="48" t="str">
        <f>HYPERLINK("https://law.justia.com/cases/mississippi/court-of-appeals/2020/2019-ca-00507-coa.html","https://law.justia.com/cases/mississippi/court-of-appeals/2020/2019-ca-00507-coa.html")</f>
        <v>https://law.justia.com/cases/mississippi/court-of-appeals/2020/2019-ca-00507-coa.html</v>
      </c>
      <c r="N142" s="47" t="s">
        <v>1783</v>
      </c>
      <c r="O142" s="47" t="s">
        <v>1784</v>
      </c>
      <c r="P142" s="46" t="s">
        <v>1785</v>
      </c>
      <c r="Q142" s="46" t="s">
        <v>20</v>
      </c>
    </row>
    <row r="143" spans="1:17" ht="179.75" customHeight="1" x14ac:dyDescent="0.35">
      <c r="A143" s="46" t="s">
        <v>1786</v>
      </c>
      <c r="B143" s="46" t="s">
        <v>107</v>
      </c>
      <c r="C143" s="47" t="s">
        <v>1787</v>
      </c>
      <c r="D143" s="47" t="s">
        <v>135</v>
      </c>
      <c r="E143" s="46" t="s">
        <v>1788</v>
      </c>
      <c r="F143" s="47" t="s">
        <v>1548</v>
      </c>
      <c r="G143" s="46" t="s">
        <v>1789</v>
      </c>
      <c r="H143" s="47" t="s">
        <v>1790</v>
      </c>
      <c r="I143" s="47" t="s">
        <v>1791</v>
      </c>
      <c r="J143" s="47" t="s">
        <v>1792</v>
      </c>
      <c r="K143" s="47" t="s">
        <v>1793</v>
      </c>
      <c r="L143" s="47" t="s">
        <v>1794</v>
      </c>
      <c r="M143" s="48" t="str">
        <f>HYPERLINK("https://law.justia.com/cases/florida/fourth-district-court-of-appeal/2013/4d12-3363.html","https://law.justia.com/cases/florida/fourth-district-court-of-appeal/2013/4d12-3363.html")</f>
        <v>https://law.justia.com/cases/florida/fourth-district-court-of-appeal/2013/4d12-3363.html</v>
      </c>
      <c r="N143" s="47" t="s">
        <v>1795</v>
      </c>
      <c r="O143" s="47" t="s">
        <v>1796</v>
      </c>
      <c r="P143" s="46" t="s">
        <v>1797</v>
      </c>
      <c r="Q143" s="46" t="s">
        <v>20</v>
      </c>
    </row>
    <row r="144" spans="1:17" ht="179.75" customHeight="1" x14ac:dyDescent="0.35">
      <c r="A144" s="46" t="s">
        <v>1798</v>
      </c>
      <c r="B144" s="46" t="s">
        <v>107</v>
      </c>
      <c r="C144" s="47" t="s">
        <v>1799</v>
      </c>
      <c r="D144" s="47" t="s">
        <v>135</v>
      </c>
      <c r="E144" s="46" t="s">
        <v>1800</v>
      </c>
      <c r="F144" s="47" t="s">
        <v>1801</v>
      </c>
      <c r="G144" s="46" t="s">
        <v>1802</v>
      </c>
      <c r="H144" s="47" t="s">
        <v>1803</v>
      </c>
      <c r="I144" s="47" t="s">
        <v>1804</v>
      </c>
      <c r="J144" s="47" t="s">
        <v>1805</v>
      </c>
      <c r="K144" s="47" t="s">
        <v>1793</v>
      </c>
      <c r="L144" s="47" t="s">
        <v>1806</v>
      </c>
      <c r="M144" s="48" t="str">
        <f>HYPERLINK("https://law.justia.com/cases/florida/fifth-district-court-of-appeal/2020/5d18-0852.html","https://law.justia.com/cases/florida/fifth-district-court-of-appeal/2020/5d18-0852.html")</f>
        <v>https://law.justia.com/cases/florida/fifth-district-court-of-appeal/2020/5d18-0852.html</v>
      </c>
      <c r="N144" s="47" t="s">
        <v>1807</v>
      </c>
      <c r="O144" s="47" t="s">
        <v>1808</v>
      </c>
      <c r="P144" s="46" t="s">
        <v>1809</v>
      </c>
      <c r="Q144" s="46" t="s">
        <v>20</v>
      </c>
    </row>
    <row r="145" spans="1:17" ht="179.75" customHeight="1" x14ac:dyDescent="0.35">
      <c r="A145" s="46" t="s">
        <v>1810</v>
      </c>
      <c r="B145" s="46" t="s">
        <v>107</v>
      </c>
      <c r="C145" s="47" t="s">
        <v>1811</v>
      </c>
      <c r="D145" s="47" t="s">
        <v>479</v>
      </c>
      <c r="E145" s="46" t="s">
        <v>1812</v>
      </c>
      <c r="F145" s="47" t="s">
        <v>110</v>
      </c>
      <c r="G145" s="46" t="s">
        <v>1813</v>
      </c>
      <c r="H145" s="47" t="s">
        <v>1814</v>
      </c>
      <c r="I145" s="47" t="s">
        <v>1815</v>
      </c>
      <c r="J145" s="47" t="s">
        <v>1816</v>
      </c>
      <c r="K145" s="47" t="s">
        <v>1817</v>
      </c>
      <c r="L145" s="47" t="s">
        <v>1818</v>
      </c>
      <c r="M145" s="48" t="str">
        <f>HYPERLINK("https://law.justia.com/cases/virginia/supreme-court/2019/181037.html","https://law.justia.com/cases/virginia/supreme-court/2019/181037.html")</f>
        <v>https://law.justia.com/cases/virginia/supreme-court/2019/181037.html</v>
      </c>
      <c r="N145" s="47" t="s">
        <v>1819</v>
      </c>
      <c r="O145" s="47" t="s">
        <v>1820</v>
      </c>
      <c r="P145" s="46" t="s">
        <v>1821</v>
      </c>
      <c r="Q145" s="46" t="s">
        <v>20</v>
      </c>
    </row>
    <row r="146" spans="1:17" ht="179.75" customHeight="1" x14ac:dyDescent="0.35">
      <c r="A146" s="46" t="s">
        <v>1822</v>
      </c>
      <c r="B146" s="46" t="s">
        <v>107</v>
      </c>
      <c r="C146" s="47" t="s">
        <v>1823</v>
      </c>
      <c r="D146" s="47" t="s">
        <v>416</v>
      </c>
      <c r="E146" s="46" t="s">
        <v>1824</v>
      </c>
      <c r="F146" s="47" t="s">
        <v>1825</v>
      </c>
      <c r="G146" s="46" t="s">
        <v>1826</v>
      </c>
      <c r="H146" s="47" t="s">
        <v>1827</v>
      </c>
      <c r="I146" s="47" t="s">
        <v>1828</v>
      </c>
      <c r="J146" s="47" t="s">
        <v>1829</v>
      </c>
      <c r="K146" s="47" t="s">
        <v>1817</v>
      </c>
      <c r="L146" s="47" t="s">
        <v>1830</v>
      </c>
      <c r="M146" s="48" t="str">
        <f>HYPERLINK("https://law.justia.com/cases/west-virginia/supreme-court/2015/14-0637.html","https://law.justia.com/cases/west-virginia/supreme-court/2015/14-0637.html")</f>
        <v>https://law.justia.com/cases/west-virginia/supreme-court/2015/14-0637.html</v>
      </c>
      <c r="N146" s="47" t="s">
        <v>1831</v>
      </c>
      <c r="O146" s="47" t="s">
        <v>1832</v>
      </c>
      <c r="P146" s="46" t="s">
        <v>1833</v>
      </c>
      <c r="Q146" s="46" t="s">
        <v>20</v>
      </c>
    </row>
    <row r="147" spans="1:17" ht="179.75" customHeight="1" x14ac:dyDescent="0.35">
      <c r="A147" s="46" t="s">
        <v>1834</v>
      </c>
      <c r="B147" s="46" t="s">
        <v>107</v>
      </c>
      <c r="C147" s="47" t="s">
        <v>1835</v>
      </c>
      <c r="D147" s="47" t="s">
        <v>479</v>
      </c>
      <c r="E147" s="46" t="s">
        <v>1836</v>
      </c>
      <c r="F147" s="47" t="s">
        <v>110</v>
      </c>
      <c r="G147" s="46" t="s">
        <v>1837</v>
      </c>
      <c r="H147" s="47" t="s">
        <v>1838</v>
      </c>
      <c r="I147" s="47" t="s">
        <v>1839</v>
      </c>
      <c r="J147" s="47" t="s">
        <v>1840</v>
      </c>
      <c r="K147" s="47" t="s">
        <v>1841</v>
      </c>
      <c r="L147" s="47" t="s">
        <v>1842</v>
      </c>
      <c r="M147" s="48" t="str">
        <f>HYPERLINK("https://law.justia.com/cases/virginia/court-of-appeals-published/2023/0187-22-4.html","https://law.justia.com/cases/virginia/court-of-appeals-published/2023/0187-22-4.html")</f>
        <v>https://law.justia.com/cases/virginia/court-of-appeals-published/2023/0187-22-4.html</v>
      </c>
      <c r="N147" s="47" t="s">
        <v>1819</v>
      </c>
      <c r="O147" s="47" t="s">
        <v>1843</v>
      </c>
      <c r="P147" s="46" t="s">
        <v>1844</v>
      </c>
      <c r="Q147" s="46" t="s">
        <v>20</v>
      </c>
    </row>
    <row r="148" spans="1:17" ht="179.75" customHeight="1" x14ac:dyDescent="0.35">
      <c r="A148" s="46" t="s">
        <v>1845</v>
      </c>
      <c r="B148" s="46" t="s">
        <v>107</v>
      </c>
      <c r="C148" s="47" t="s">
        <v>1846</v>
      </c>
      <c r="D148" s="47" t="s">
        <v>122</v>
      </c>
      <c r="E148" s="46" t="s">
        <v>1847</v>
      </c>
      <c r="F148" s="47" t="s">
        <v>1848</v>
      </c>
      <c r="G148" s="46" t="s">
        <v>1849</v>
      </c>
      <c r="H148" s="47" t="s">
        <v>1850</v>
      </c>
      <c r="I148" s="47" t="s">
        <v>1851</v>
      </c>
      <c r="J148" s="47" t="s">
        <v>1852</v>
      </c>
      <c r="K148" s="47" t="s">
        <v>1853</v>
      </c>
      <c r="L148" s="47" t="s">
        <v>1854</v>
      </c>
      <c r="M148" s="48" t="str">
        <f>HYPERLINK("https://law.justia.com/cases/texas/third-court-of-appeals/2023/03-21-00543-cv.html","https://law.justia.com/cases/texas/third-court-of-appeals/2023/03-21-00543-cv.html")</f>
        <v>https://law.justia.com/cases/texas/third-court-of-appeals/2023/03-21-00543-cv.html</v>
      </c>
      <c r="N148" s="47" t="s">
        <v>1855</v>
      </c>
      <c r="O148" s="47" t="s">
        <v>1856</v>
      </c>
      <c r="P148" s="46" t="s">
        <v>1857</v>
      </c>
      <c r="Q148" s="46" t="s">
        <v>20</v>
      </c>
    </row>
    <row r="149" spans="1:17" ht="179.75" customHeight="1" x14ac:dyDescent="0.35">
      <c r="A149" s="46" t="s">
        <v>1858</v>
      </c>
      <c r="B149" s="46" t="s">
        <v>107</v>
      </c>
      <c r="C149" s="47" t="s">
        <v>1859</v>
      </c>
      <c r="D149" s="47" t="s">
        <v>504</v>
      </c>
      <c r="E149" s="46" t="s">
        <v>1860</v>
      </c>
      <c r="F149" s="47" t="s">
        <v>110</v>
      </c>
      <c r="G149" s="46" t="s">
        <v>1861</v>
      </c>
      <c r="H149" s="47" t="s">
        <v>1862</v>
      </c>
      <c r="I149" s="47" t="s">
        <v>1863</v>
      </c>
      <c r="J149" s="47" t="s">
        <v>1864</v>
      </c>
      <c r="K149" s="47" t="s">
        <v>1865</v>
      </c>
      <c r="L149" s="47" t="s">
        <v>1866</v>
      </c>
      <c r="M149" s="48" t="str">
        <f>HYPERLINK("https://law.justia.com/cases/tennessee/court-of-appeals/2025/w2024-00556-coa-r3-cv.html","https://law.justia.com/cases/tennessee/court-of-appeals/2025/w2024-00556-coa-r3-cv.html")</f>
        <v>https://law.justia.com/cases/tennessee/court-of-appeals/2025/w2024-00556-coa-r3-cv.html</v>
      </c>
      <c r="N149" s="47" t="s">
        <v>1867</v>
      </c>
      <c r="O149" s="47" t="s">
        <v>1868</v>
      </c>
      <c r="P149" s="46" t="s">
        <v>1869</v>
      </c>
      <c r="Q149" s="46" t="s">
        <v>20</v>
      </c>
    </row>
    <row r="150" spans="1:17" ht="179.75" customHeight="1" x14ac:dyDescent="0.35">
      <c r="A150" s="46" t="s">
        <v>1870</v>
      </c>
      <c r="B150" s="46" t="s">
        <v>107</v>
      </c>
      <c r="C150" s="47" t="s">
        <v>1871</v>
      </c>
      <c r="D150" s="47" t="s">
        <v>1337</v>
      </c>
      <c r="E150" s="46" t="s">
        <v>1872</v>
      </c>
      <c r="F150" s="47" t="s">
        <v>1873</v>
      </c>
      <c r="G150" s="46" t="s">
        <v>1874</v>
      </c>
      <c r="H150" s="47" t="s">
        <v>1875</v>
      </c>
      <c r="I150" s="47" t="s">
        <v>1876</v>
      </c>
      <c r="J150" s="47" t="s">
        <v>1877</v>
      </c>
      <c r="K150" s="47" t="s">
        <v>1769</v>
      </c>
      <c r="L150" s="47" t="s">
        <v>1878</v>
      </c>
      <c r="M150" s="48" t="str">
        <f>HYPERLINK("https://law.justia.com/cases/new-jersey/appellate-division-unpublished/2026/a-3243-24.html","https://law.justia.com/cases/new-jersey/appellate-division-unpublished/2026/a-3243-24.html")</f>
        <v>https://law.justia.com/cases/new-jersey/appellate-division-unpublished/2026/a-3243-24.html</v>
      </c>
      <c r="N150" s="47" t="s">
        <v>1879</v>
      </c>
      <c r="O150" s="47" t="s">
        <v>1880</v>
      </c>
      <c r="P150" s="46" t="s">
        <v>1881</v>
      </c>
      <c r="Q150" s="46" t="s">
        <v>20</v>
      </c>
    </row>
    <row r="151" spans="1:17" ht="179.75" customHeight="1" x14ac:dyDescent="0.35">
      <c r="A151" s="46" t="s">
        <v>1882</v>
      </c>
      <c r="B151" s="46" t="s">
        <v>107</v>
      </c>
      <c r="C151" s="47" t="s">
        <v>1883</v>
      </c>
      <c r="D151" s="47" t="s">
        <v>135</v>
      </c>
      <c r="E151" s="46" t="s">
        <v>1884</v>
      </c>
      <c r="F151" s="47" t="s">
        <v>1885</v>
      </c>
      <c r="G151" s="46" t="s">
        <v>1886</v>
      </c>
      <c r="H151" s="47" t="s">
        <v>1887</v>
      </c>
      <c r="I151" s="47" t="s">
        <v>1888</v>
      </c>
      <c r="J151" s="47" t="s">
        <v>1889</v>
      </c>
      <c r="K151" s="47" t="s">
        <v>1793</v>
      </c>
      <c r="L151" s="47" t="s">
        <v>1890</v>
      </c>
      <c r="M151" s="48" t="str">
        <f>HYPERLINK("https://law.justia.com/cases/florida/second-district-court-of-appeal/2023/22-1584.html","https://law.justia.com/cases/florida/second-district-court-of-appeal/2023/22-1584.html")</f>
        <v>https://law.justia.com/cases/florida/second-district-court-of-appeal/2023/22-1584.html</v>
      </c>
      <c r="N151" s="47" t="s">
        <v>1771</v>
      </c>
      <c r="O151" s="47" t="s">
        <v>1891</v>
      </c>
      <c r="P151" s="46" t="s">
        <v>1892</v>
      </c>
      <c r="Q151" s="46" t="s">
        <v>20</v>
      </c>
    </row>
    <row r="152" spans="1:17" ht="179.75" customHeight="1" x14ac:dyDescent="0.35">
      <c r="A152" s="46" t="s">
        <v>1893</v>
      </c>
      <c r="B152" s="46" t="s">
        <v>107</v>
      </c>
      <c r="C152" s="47" t="s">
        <v>1894</v>
      </c>
      <c r="D152" s="47" t="s">
        <v>135</v>
      </c>
      <c r="E152" s="46" t="s">
        <v>1895</v>
      </c>
      <c r="F152" s="47" t="s">
        <v>1896</v>
      </c>
      <c r="G152" s="46" t="s">
        <v>1897</v>
      </c>
      <c r="H152" s="47" t="s">
        <v>1898</v>
      </c>
      <c r="I152" s="47" t="s">
        <v>1899</v>
      </c>
      <c r="J152" s="47" t="s">
        <v>1900</v>
      </c>
      <c r="K152" s="47" t="s">
        <v>1793</v>
      </c>
      <c r="L152" s="47" t="s">
        <v>1901</v>
      </c>
      <c r="M152" s="48" t="str">
        <f>HYPERLINK("https://law.justia.com/cases/florida/fourth-district-court-of-appeal/2016/4d15-1514.html","https://law.justia.com/cases/florida/fourth-district-court-of-appeal/2016/4d15-1514.html")</f>
        <v>https://law.justia.com/cases/florida/fourth-district-court-of-appeal/2016/4d15-1514.html</v>
      </c>
      <c r="N152" s="47" t="s">
        <v>1771</v>
      </c>
      <c r="O152" s="47" t="s">
        <v>1902</v>
      </c>
      <c r="P152" s="46" t="s">
        <v>1903</v>
      </c>
      <c r="Q152" s="46" t="s">
        <v>20</v>
      </c>
    </row>
    <row r="153" spans="1:17" ht="179.75" customHeight="1" x14ac:dyDescent="0.35">
      <c r="A153" s="46" t="s">
        <v>1904</v>
      </c>
      <c r="B153" s="46" t="s">
        <v>107</v>
      </c>
      <c r="C153" s="47" t="s">
        <v>1905</v>
      </c>
      <c r="D153" s="47" t="s">
        <v>135</v>
      </c>
      <c r="E153" s="46" t="s">
        <v>1906</v>
      </c>
      <c r="F153" s="47" t="s">
        <v>1896</v>
      </c>
      <c r="G153" s="46" t="s">
        <v>1907</v>
      </c>
      <c r="H153" s="47" t="s">
        <v>1908</v>
      </c>
      <c r="I153" s="47" t="s">
        <v>1909</v>
      </c>
      <c r="J153" s="47" t="s">
        <v>1910</v>
      </c>
      <c r="K153" s="47" t="s">
        <v>1793</v>
      </c>
      <c r="L153" s="47" t="s">
        <v>1911</v>
      </c>
      <c r="M153" s="48" t="str">
        <f>HYPERLINK("https://law.justia.com/cases/florida/fifth-district-court-of-appeal/2014/5d13-3852.html","https://law.justia.com/cases/florida/fifth-district-court-of-appeal/2014/5d13-3852.html")</f>
        <v>https://law.justia.com/cases/florida/fifth-district-court-of-appeal/2014/5d13-3852.html</v>
      </c>
      <c r="N153" s="47" t="s">
        <v>1771</v>
      </c>
      <c r="O153" s="47" t="s">
        <v>1912</v>
      </c>
      <c r="P153" s="46" t="s">
        <v>1913</v>
      </c>
      <c r="Q153" s="46" t="s">
        <v>20</v>
      </c>
    </row>
    <row r="154" spans="1:17" ht="179.75" customHeight="1" x14ac:dyDescent="0.35">
      <c r="A154" s="46" t="s">
        <v>1914</v>
      </c>
      <c r="B154" s="46" t="s">
        <v>107</v>
      </c>
      <c r="C154" s="49" t="s">
        <v>1915</v>
      </c>
      <c r="D154" s="49" t="s">
        <v>135</v>
      </c>
      <c r="E154" s="46" t="s">
        <v>1916</v>
      </c>
      <c r="F154" s="49" t="s">
        <v>1917</v>
      </c>
      <c r="G154" s="46" t="s">
        <v>1918</v>
      </c>
      <c r="H154" s="49" t="s">
        <v>1919</v>
      </c>
      <c r="I154" s="49" t="s">
        <v>1920</v>
      </c>
      <c r="J154" s="49" t="s">
        <v>1921</v>
      </c>
      <c r="K154" s="49" t="s">
        <v>1793</v>
      </c>
      <c r="L154" s="49" t="s">
        <v>1922</v>
      </c>
      <c r="M154" s="48" t="str">
        <f>HYPERLINK("https://law.justia.com/cases/florida/fourth-district-court-of-appeal/2021/19-3367.html","https://law.justia.com/cases/florida/fourth-district-court-of-appeal/2021/19-3367.html")</f>
        <v>https://law.justia.com/cases/florida/fourth-district-court-of-appeal/2021/19-3367.html</v>
      </c>
      <c r="N154" s="49" t="s">
        <v>1923</v>
      </c>
      <c r="O154" s="49" t="s">
        <v>1924</v>
      </c>
      <c r="P154" s="46" t="s">
        <v>1925</v>
      </c>
      <c r="Q154" s="49" t="s">
        <v>20</v>
      </c>
    </row>
    <row r="155" spans="1:17" ht="179.75" customHeight="1" x14ac:dyDescent="0.35">
      <c r="A155" s="46" t="s">
        <v>1926</v>
      </c>
      <c r="B155" s="46" t="s">
        <v>1927</v>
      </c>
      <c r="C155" s="49" t="s">
        <v>1928</v>
      </c>
      <c r="D155" s="49" t="s">
        <v>122</v>
      </c>
      <c r="E155" s="46" t="s">
        <v>1929</v>
      </c>
      <c r="F155" s="49" t="s">
        <v>1930</v>
      </c>
      <c r="G155" s="46" t="s">
        <v>1931</v>
      </c>
      <c r="H155" s="49" t="s">
        <v>1932</v>
      </c>
      <c r="I155" s="49" t="s">
        <v>1933</v>
      </c>
      <c r="J155" s="49" t="s">
        <v>1934</v>
      </c>
      <c r="K155" s="49" t="s">
        <v>1853</v>
      </c>
      <c r="L155" s="49" t="s">
        <v>1935</v>
      </c>
      <c r="M155" s="48" t="str">
        <f>HYPERLINK("https://law.justia.com/cases/texas/fifth-court-of-appeals/2011/05-09-00788-cv-2.html","https://law.justia.com/cases/texas/fifth-court-of-appeals/2011/05-09-00788-cv-2.html")</f>
        <v>https://law.justia.com/cases/texas/fifth-court-of-appeals/2011/05-09-00788-cv-2.html</v>
      </c>
      <c r="N155" s="49" t="s">
        <v>1936</v>
      </c>
      <c r="O155" s="49" t="s">
        <v>1937</v>
      </c>
      <c r="P155" s="46" t="s">
        <v>1938</v>
      </c>
      <c r="Q155" s="49" t="s">
        <v>20</v>
      </c>
    </row>
    <row r="156" spans="1:17" ht="179.75" customHeight="1" x14ac:dyDescent="0.35">
      <c r="A156" s="46" t="s">
        <v>1939</v>
      </c>
      <c r="B156" s="46" t="s">
        <v>107</v>
      </c>
      <c r="C156" s="49" t="s">
        <v>1940</v>
      </c>
      <c r="D156" s="49" t="s">
        <v>122</v>
      </c>
      <c r="E156" s="46" t="s">
        <v>1941</v>
      </c>
      <c r="F156" s="49" t="s">
        <v>1716</v>
      </c>
      <c r="G156" s="46" t="s">
        <v>1942</v>
      </c>
      <c r="H156" s="49" t="s">
        <v>1943</v>
      </c>
      <c r="I156" s="49" t="s">
        <v>1944</v>
      </c>
      <c r="J156" s="49" t="s">
        <v>1945</v>
      </c>
      <c r="K156" s="49" t="s">
        <v>1853</v>
      </c>
      <c r="L156" s="49" t="s">
        <v>1946</v>
      </c>
      <c r="M156" s="48" t="str">
        <f>HYPERLINK("https://law.justia.com/cases/texas/fifth-court-of-appeals/2024/05-22-00198-cv.html","https://law.justia.com/cases/texas/fifth-court-of-appeals/2024/05-22-00198-cv.html")</f>
        <v>https://law.justia.com/cases/texas/fifth-court-of-appeals/2024/05-22-00198-cv.html</v>
      </c>
      <c r="N156" s="49" t="s">
        <v>1947</v>
      </c>
      <c r="O156" s="49" t="s">
        <v>1948</v>
      </c>
      <c r="P156" s="46" t="s">
        <v>1949</v>
      </c>
      <c r="Q156" s="49" t="s">
        <v>20</v>
      </c>
    </row>
    <row r="157" spans="1:17" ht="179.75" customHeight="1" x14ac:dyDescent="0.35">
      <c r="A157" s="46" t="s">
        <v>1950</v>
      </c>
      <c r="B157" s="46" t="s">
        <v>107</v>
      </c>
      <c r="C157" s="47" t="s">
        <v>1951</v>
      </c>
      <c r="D157" s="47" t="s">
        <v>135</v>
      </c>
      <c r="E157" s="46" t="s">
        <v>1952</v>
      </c>
      <c r="F157" s="47" t="s">
        <v>110</v>
      </c>
      <c r="G157" s="46" t="s">
        <v>1953</v>
      </c>
      <c r="H157" s="47" t="s">
        <v>1954</v>
      </c>
      <c r="I157" s="47" t="s">
        <v>1955</v>
      </c>
      <c r="J157" s="47" t="s">
        <v>1956</v>
      </c>
      <c r="K157" s="47" t="s">
        <v>1793</v>
      </c>
      <c r="L157" s="47" t="s">
        <v>1957</v>
      </c>
      <c r="M157" s="48" t="str">
        <f>HYPERLINK("https://law.justia.com/cases/florida/fourth-district-court-of-appeal/2026/4d2025-1083.html","https://law.justia.com/cases/florida/fourth-district-court-of-appeal/2026/4d2025-1083.html")</f>
        <v>https://law.justia.com/cases/florida/fourth-district-court-of-appeal/2026/4d2025-1083.html</v>
      </c>
      <c r="N157" s="47" t="s">
        <v>1958</v>
      </c>
      <c r="O157" s="47" t="s">
        <v>1959</v>
      </c>
      <c r="P157" s="46" t="s">
        <v>1960</v>
      </c>
      <c r="Q157" s="46" t="s">
        <v>20</v>
      </c>
    </row>
    <row r="158" spans="1:17" ht="179.75" customHeight="1" x14ac:dyDescent="0.35">
      <c r="A158" s="46" t="s">
        <v>1961</v>
      </c>
      <c r="B158" s="46" t="s">
        <v>107</v>
      </c>
      <c r="C158" s="47" t="s">
        <v>1962</v>
      </c>
      <c r="D158" s="47" t="s">
        <v>1560</v>
      </c>
      <c r="E158" s="46" t="s">
        <v>1963</v>
      </c>
      <c r="F158" s="47" t="s">
        <v>1964</v>
      </c>
      <c r="G158" s="46" t="s">
        <v>1965</v>
      </c>
      <c r="H158" s="47" t="s">
        <v>1966</v>
      </c>
      <c r="I158" s="47" t="s">
        <v>1967</v>
      </c>
      <c r="J158" s="47" t="s">
        <v>1968</v>
      </c>
      <c r="K158" s="47" t="s">
        <v>1969</v>
      </c>
      <c r="L158" s="47" t="s">
        <v>1970</v>
      </c>
      <c r="M158" s="48" t="str">
        <f>HYPERLINK("https://law.justia.com/cases/washington/court-of-appeals-division-i/2015/71903-3.html","https://law.justia.com/cases/washington/court-of-appeals-division-i/2015/71903-3.html")</f>
        <v>https://law.justia.com/cases/washington/court-of-appeals-division-i/2015/71903-3.html</v>
      </c>
      <c r="N158" s="47" t="s">
        <v>1971</v>
      </c>
      <c r="O158" s="47" t="s">
        <v>1972</v>
      </c>
      <c r="P158" s="46" t="s">
        <v>1973</v>
      </c>
      <c r="Q158" s="46" t="s">
        <v>20</v>
      </c>
    </row>
    <row r="159" spans="1:17" ht="179.75" customHeight="1" x14ac:dyDescent="0.35">
      <c r="A159" s="46" t="s">
        <v>1974</v>
      </c>
      <c r="B159" s="46" t="s">
        <v>107</v>
      </c>
      <c r="C159" s="47" t="s">
        <v>1975</v>
      </c>
      <c r="D159" s="47" t="s">
        <v>850</v>
      </c>
      <c r="E159" s="46" t="s">
        <v>1976</v>
      </c>
      <c r="F159" s="47" t="s">
        <v>110</v>
      </c>
      <c r="G159" s="46" t="s">
        <v>1977</v>
      </c>
      <c r="H159" s="47" t="s">
        <v>1978</v>
      </c>
      <c r="I159" s="47" t="s">
        <v>1979</v>
      </c>
      <c r="J159" s="47" t="s">
        <v>1980</v>
      </c>
      <c r="K159" s="47" t="s">
        <v>1981</v>
      </c>
      <c r="L159" s="47" t="s">
        <v>1982</v>
      </c>
      <c r="M159" s="48" t="str">
        <f>HYPERLINK("https://law.justia.com/cases/georgia/court-of-appeals/2019/a18a2121.html","https://law.justia.com/cases/georgia/court-of-appeals/2019/a18a2121.html")</f>
        <v>https://law.justia.com/cases/georgia/court-of-appeals/2019/a18a2121.html</v>
      </c>
      <c r="N159" s="47" t="s">
        <v>1983</v>
      </c>
      <c r="O159" s="47" t="s">
        <v>1984</v>
      </c>
      <c r="P159" s="46" t="s">
        <v>1985</v>
      </c>
      <c r="Q159" s="46" t="s">
        <v>20</v>
      </c>
    </row>
    <row r="160" spans="1:17" ht="179.75" customHeight="1" x14ac:dyDescent="0.35">
      <c r="A160" s="46" t="s">
        <v>1986</v>
      </c>
      <c r="B160" s="46" t="s">
        <v>107</v>
      </c>
      <c r="C160" s="47" t="s">
        <v>1987</v>
      </c>
      <c r="D160" s="47" t="s">
        <v>1195</v>
      </c>
      <c r="E160" s="46" t="s">
        <v>1988</v>
      </c>
      <c r="F160" s="47" t="s">
        <v>1989</v>
      </c>
      <c r="G160" s="46" t="s">
        <v>1990</v>
      </c>
      <c r="H160" s="47" t="s">
        <v>1991</v>
      </c>
      <c r="I160" s="47" t="s">
        <v>1992</v>
      </c>
      <c r="J160" s="47" t="s">
        <v>1993</v>
      </c>
      <c r="K160" s="47" t="s">
        <v>1817</v>
      </c>
      <c r="L160" s="47" t="s">
        <v>1994</v>
      </c>
      <c r="M160" s="48" t="str">
        <f>HYPERLINK("https://law.justia.com/cases/connecticut/supreme-court/2016/sc19509.html","https://law.justia.com/cases/connecticut/supreme-court/2016/sc19509.html")</f>
        <v>https://law.justia.com/cases/connecticut/supreme-court/2016/sc19509.html</v>
      </c>
      <c r="N160" s="47" t="s">
        <v>1995</v>
      </c>
      <c r="O160" s="47" t="s">
        <v>1996</v>
      </c>
      <c r="P160" s="46" t="s">
        <v>1997</v>
      </c>
      <c r="Q160" s="46" t="s">
        <v>20</v>
      </c>
    </row>
    <row r="161" spans="1:17" ht="179.75" customHeight="1" x14ac:dyDescent="0.35">
      <c r="A161" s="46" t="s">
        <v>1998</v>
      </c>
      <c r="B161" s="46" t="s">
        <v>1999</v>
      </c>
      <c r="C161" s="47" t="s">
        <v>2000</v>
      </c>
      <c r="D161" s="47" t="s">
        <v>122</v>
      </c>
      <c r="E161" s="46" t="s">
        <v>2001</v>
      </c>
      <c r="F161" s="47" t="s">
        <v>1777</v>
      </c>
      <c r="G161" s="46" t="s">
        <v>2002</v>
      </c>
      <c r="H161" s="47" t="s">
        <v>2003</v>
      </c>
      <c r="I161" s="47" t="s">
        <v>2004</v>
      </c>
      <c r="J161" s="47" t="s">
        <v>2005</v>
      </c>
      <c r="K161" s="47" t="s">
        <v>1853</v>
      </c>
      <c r="L161" s="47" t="s">
        <v>2006</v>
      </c>
      <c r="M161" s="48" t="str">
        <f>HYPERLINK("https://law.justia.com/cases/texas/fifth-court-of-appeals/2026/05-24-00717-cv.html","https://law.justia.com/cases/texas/fifth-court-of-appeals/2026/05-24-00717-cv.html")</f>
        <v>https://law.justia.com/cases/texas/fifth-court-of-appeals/2026/05-24-00717-cv.html</v>
      </c>
      <c r="N161" s="47" t="s">
        <v>2007</v>
      </c>
      <c r="O161" s="47" t="s">
        <v>2008</v>
      </c>
      <c r="P161" s="46" t="s">
        <v>2009</v>
      </c>
      <c r="Q161" s="46" t="s">
        <v>20</v>
      </c>
    </row>
    <row r="162" spans="1:17" ht="179.75" customHeight="1" x14ac:dyDescent="0.35">
      <c r="A162" s="46" t="s">
        <v>2010</v>
      </c>
      <c r="B162" s="46" t="s">
        <v>107</v>
      </c>
      <c r="C162" s="47" t="s">
        <v>2011</v>
      </c>
      <c r="D162" s="47" t="s">
        <v>1133</v>
      </c>
      <c r="E162" s="46" t="s">
        <v>2012</v>
      </c>
      <c r="F162" s="47" t="s">
        <v>2013</v>
      </c>
      <c r="G162" s="46" t="s">
        <v>2014</v>
      </c>
      <c r="H162" s="47" t="s">
        <v>2015</v>
      </c>
      <c r="I162" s="47" t="s">
        <v>2016</v>
      </c>
      <c r="J162" s="47" t="s">
        <v>2017</v>
      </c>
      <c r="K162" s="47" t="s">
        <v>2018</v>
      </c>
      <c r="L162" s="47" t="s">
        <v>2019</v>
      </c>
      <c r="M162" s="48" t="str">
        <f>HYPERLINK("https://law.justia.com/cases/federal/district-courts/louisiana/laedce/2%3A2024cv00269/267830/43/","https://law.justia.com/cases/federal/district-courts/louisiana/laedce/2%3A2024cv00269/267830/43/")</f>
        <v>https://law.justia.com/cases/federal/district-courts/louisiana/laedce/2%3A2024cv00269/267830/43/</v>
      </c>
      <c r="N162" s="47" t="s">
        <v>2020</v>
      </c>
      <c r="O162" s="47" t="s">
        <v>2021</v>
      </c>
      <c r="P162" s="46" t="s">
        <v>2022</v>
      </c>
      <c r="Q162" s="46" t="s">
        <v>20</v>
      </c>
    </row>
    <row r="163" spans="1:17" ht="179.75" customHeight="1" x14ac:dyDescent="0.35">
      <c r="A163" s="46" t="s">
        <v>2023</v>
      </c>
      <c r="B163" s="46" t="s">
        <v>107</v>
      </c>
      <c r="C163" s="47" t="s">
        <v>2024</v>
      </c>
      <c r="D163" s="47" t="s">
        <v>135</v>
      </c>
      <c r="E163" s="46" t="s">
        <v>2025</v>
      </c>
      <c r="F163" s="47" t="s">
        <v>2026</v>
      </c>
      <c r="G163" s="46" t="s">
        <v>2027</v>
      </c>
      <c r="H163" s="47" t="s">
        <v>2028</v>
      </c>
      <c r="I163" s="47" t="s">
        <v>2029</v>
      </c>
      <c r="J163" s="47" t="s">
        <v>2030</v>
      </c>
      <c r="K163" s="47" t="s">
        <v>1793</v>
      </c>
      <c r="L163" s="47" t="s">
        <v>2031</v>
      </c>
      <c r="M163" s="48" t="str">
        <f>HYPERLINK("https://law.justia.com/cases/florida/fifth-district-court-of-appeal/2020/5d18-3913.html","https://law.justia.com/cases/florida/fifth-district-court-of-appeal/2020/5d18-3913.html")</f>
        <v>https://law.justia.com/cases/florida/fifth-district-court-of-appeal/2020/5d18-3913.html</v>
      </c>
      <c r="N163" s="47" t="s">
        <v>2032</v>
      </c>
      <c r="O163" s="47" t="s">
        <v>2033</v>
      </c>
      <c r="P163" s="46" t="s">
        <v>2034</v>
      </c>
      <c r="Q163" s="46" t="s">
        <v>20</v>
      </c>
    </row>
    <row r="164" spans="1:17" ht="179.75" customHeight="1" x14ac:dyDescent="0.35">
      <c r="A164" s="46" t="s">
        <v>2035</v>
      </c>
      <c r="B164" s="46" t="s">
        <v>107</v>
      </c>
      <c r="C164" s="47" t="s">
        <v>2036</v>
      </c>
      <c r="D164" s="47" t="s">
        <v>122</v>
      </c>
      <c r="E164" s="46" t="s">
        <v>2037</v>
      </c>
      <c r="F164" s="47" t="s">
        <v>2038</v>
      </c>
      <c r="G164" s="46" t="s">
        <v>2039</v>
      </c>
      <c r="H164" s="47" t="s">
        <v>2040</v>
      </c>
      <c r="I164" s="47" t="s">
        <v>2041</v>
      </c>
      <c r="J164" s="47" t="s">
        <v>2042</v>
      </c>
      <c r="K164" s="47" t="s">
        <v>1853</v>
      </c>
      <c r="L164" s="47" t="s">
        <v>2043</v>
      </c>
      <c r="M164" s="48" t="str">
        <f>HYPERLINK("https://law.justia.com/cases/texas/first-court-of-appeals/2017/01-15-00816-cv.html","https://law.justia.com/cases/texas/first-court-of-appeals/2017/01-15-00816-cv.html")</f>
        <v>https://law.justia.com/cases/texas/first-court-of-appeals/2017/01-15-00816-cv.html</v>
      </c>
      <c r="N164" s="47" t="s">
        <v>2044</v>
      </c>
      <c r="O164" s="47" t="s">
        <v>2045</v>
      </c>
      <c r="P164" s="46" t="s">
        <v>2046</v>
      </c>
      <c r="Q164" s="46" t="s">
        <v>20</v>
      </c>
    </row>
    <row r="165" spans="1:17" ht="179.75" customHeight="1" x14ac:dyDescent="0.35">
      <c r="A165" s="46" t="s">
        <v>2047</v>
      </c>
      <c r="B165" s="46" t="s">
        <v>107</v>
      </c>
      <c r="C165" s="47" t="s">
        <v>2048</v>
      </c>
      <c r="D165" s="47" t="s">
        <v>517</v>
      </c>
      <c r="E165" s="46" t="s">
        <v>2049</v>
      </c>
      <c r="F165" s="47" t="s">
        <v>2050</v>
      </c>
      <c r="G165" s="46" t="s">
        <v>2051</v>
      </c>
      <c r="H165" s="47" t="s">
        <v>2052</v>
      </c>
      <c r="I165" s="47" t="s">
        <v>2053</v>
      </c>
      <c r="J165" s="47" t="s">
        <v>2054</v>
      </c>
      <c r="K165" s="47" t="s">
        <v>1817</v>
      </c>
      <c r="L165" s="47" t="s">
        <v>2055</v>
      </c>
      <c r="M165" s="48" t="str">
        <f>HYPERLINK("https://law.justia.com/cases/north-carolina/supreme-court/2025/123pa24.html","https://law.justia.com/cases/north-carolina/supreme-court/2025/123pa24.html")</f>
        <v>https://law.justia.com/cases/north-carolina/supreme-court/2025/123pa24.html</v>
      </c>
      <c r="N165" s="47" t="s">
        <v>2056</v>
      </c>
      <c r="O165" s="47" t="s">
        <v>2057</v>
      </c>
      <c r="P165" s="46" t="s">
        <v>2058</v>
      </c>
      <c r="Q165" s="46" t="s">
        <v>20</v>
      </c>
    </row>
    <row r="166" spans="1:17" ht="179.75" customHeight="1" x14ac:dyDescent="0.35">
      <c r="A166" s="46" t="s">
        <v>2059</v>
      </c>
      <c r="B166" s="46" t="s">
        <v>107</v>
      </c>
      <c r="C166" s="47" t="s">
        <v>2060</v>
      </c>
      <c r="D166" s="47" t="s">
        <v>296</v>
      </c>
      <c r="E166" s="46" t="s">
        <v>2061</v>
      </c>
      <c r="F166" s="47" t="s">
        <v>2062</v>
      </c>
      <c r="G166" s="46" t="s">
        <v>2063</v>
      </c>
      <c r="H166" s="47" t="s">
        <v>2064</v>
      </c>
      <c r="I166" s="47" t="s">
        <v>2065</v>
      </c>
      <c r="J166" s="47" t="s">
        <v>2066</v>
      </c>
      <c r="K166" s="47" t="s">
        <v>2067</v>
      </c>
      <c r="L166" s="47" t="s">
        <v>2068</v>
      </c>
      <c r="M166" s="48" t="str">
        <f>HYPERLINK("https://law.justia.com/cases/illinois/court-of-appeals-first-appellate-district/2018/1-16-2233.html","https://law.justia.com/cases/illinois/court-of-appeals-first-appellate-district/2018/1-16-2233.html")</f>
        <v>https://law.justia.com/cases/illinois/court-of-appeals-first-appellate-district/2018/1-16-2233.html</v>
      </c>
      <c r="N166" s="47" t="s">
        <v>2069</v>
      </c>
      <c r="O166" s="47" t="s">
        <v>2070</v>
      </c>
      <c r="P166" s="46" t="s">
        <v>2071</v>
      </c>
      <c r="Q166" s="46" t="s">
        <v>20</v>
      </c>
    </row>
    <row r="167" spans="1:17" ht="179.75" customHeight="1" x14ac:dyDescent="0.35">
      <c r="A167" s="46" t="s">
        <v>2072</v>
      </c>
      <c r="B167" s="46" t="s">
        <v>2073</v>
      </c>
      <c r="C167" s="47" t="s">
        <v>2074</v>
      </c>
      <c r="D167" s="47" t="s">
        <v>122</v>
      </c>
      <c r="E167" s="46" t="s">
        <v>2075</v>
      </c>
      <c r="F167" s="47" t="s">
        <v>2076</v>
      </c>
      <c r="G167" s="46" t="s">
        <v>2077</v>
      </c>
      <c r="H167" s="47" t="s">
        <v>2078</v>
      </c>
      <c r="I167" s="47" t="s">
        <v>2079</v>
      </c>
      <c r="J167" s="47" t="s">
        <v>2080</v>
      </c>
      <c r="K167" s="47" t="s">
        <v>1853</v>
      </c>
      <c r="L167" s="47" t="s">
        <v>2081</v>
      </c>
      <c r="M167" s="48" t="str">
        <f>HYPERLINK("https://law.justia.com/cases/texas/third-court-of-appeals/2024/03-23-00108-cv.html","https://law.justia.com/cases/texas/third-court-of-appeals/2024/03-23-00108-cv.html")</f>
        <v>https://law.justia.com/cases/texas/third-court-of-appeals/2024/03-23-00108-cv.html</v>
      </c>
      <c r="N167" s="47" t="s">
        <v>2082</v>
      </c>
      <c r="O167" s="47" t="s">
        <v>2083</v>
      </c>
      <c r="P167" s="46" t="s">
        <v>2084</v>
      </c>
      <c r="Q167" s="46" t="s">
        <v>20</v>
      </c>
    </row>
    <row r="168" spans="1:17" ht="179.75" customHeight="1" x14ac:dyDescent="0.35">
      <c r="A168" s="46" t="s">
        <v>2085</v>
      </c>
      <c r="B168" s="46" t="s">
        <v>107</v>
      </c>
      <c r="C168" s="47" t="s">
        <v>2086</v>
      </c>
      <c r="D168" s="47" t="s">
        <v>122</v>
      </c>
      <c r="E168" s="46" t="s">
        <v>2087</v>
      </c>
      <c r="F168" s="47" t="s">
        <v>1964</v>
      </c>
      <c r="G168" s="46" t="s">
        <v>2088</v>
      </c>
      <c r="H168" s="47" t="s">
        <v>2089</v>
      </c>
      <c r="I168" s="47" t="s">
        <v>2090</v>
      </c>
      <c r="J168" s="47" t="s">
        <v>2091</v>
      </c>
      <c r="K168" s="47" t="s">
        <v>1853</v>
      </c>
      <c r="L168" s="47" t="s">
        <v>2092</v>
      </c>
      <c r="M168" s="48" t="str">
        <f>HYPERLINK("https://law.justia.com/cases/texas/eighth-court-of-appeals/2017/08-15-00214-cv.html","https://law.justia.com/cases/texas/eighth-court-of-appeals/2017/08-15-00214-cv.html")</f>
        <v>https://law.justia.com/cases/texas/eighth-court-of-appeals/2017/08-15-00214-cv.html</v>
      </c>
      <c r="N168" s="47" t="s">
        <v>2093</v>
      </c>
      <c r="O168" s="47" t="s">
        <v>2094</v>
      </c>
      <c r="P168" s="46" t="s">
        <v>2095</v>
      </c>
      <c r="Q168" s="46" t="s">
        <v>20</v>
      </c>
    </row>
    <row r="169" spans="1:17" ht="179.75" customHeight="1" x14ac:dyDescent="0.35">
      <c r="A169" s="46" t="s">
        <v>2096</v>
      </c>
      <c r="B169" s="46" t="s">
        <v>107</v>
      </c>
      <c r="C169" s="49" t="s">
        <v>2097</v>
      </c>
      <c r="D169" s="49" t="s">
        <v>183</v>
      </c>
      <c r="E169" s="46" t="s">
        <v>2098</v>
      </c>
      <c r="F169" s="49" t="s">
        <v>2099</v>
      </c>
      <c r="G169" s="46" t="s">
        <v>2100</v>
      </c>
      <c r="H169" s="49" t="s">
        <v>2101</v>
      </c>
      <c r="I169" s="49" t="s">
        <v>2102</v>
      </c>
      <c r="J169" s="49" t="s">
        <v>2103</v>
      </c>
      <c r="K169" s="49" t="s">
        <v>2104</v>
      </c>
      <c r="L169" s="49" t="s">
        <v>2105</v>
      </c>
      <c r="M169" s="48" t="str">
        <f>HYPERLINK("https://law.justia.com/cases/ohio/eleventh-district-court-of-appeals/2022/2021-l-123.html","https://law.justia.com/cases/ohio/eleventh-district-court-of-appeals/2022/2021-l-123.html")</f>
        <v>https://law.justia.com/cases/ohio/eleventh-district-court-of-appeals/2022/2021-l-123.html</v>
      </c>
      <c r="N169" s="49" t="s">
        <v>2106</v>
      </c>
      <c r="O169" s="49" t="s">
        <v>2107</v>
      </c>
      <c r="P169" s="46" t="s">
        <v>2108</v>
      </c>
      <c r="Q169" s="49" t="s">
        <v>20</v>
      </c>
    </row>
    <row r="170" spans="1:17" ht="179.75" customHeight="1" x14ac:dyDescent="0.35">
      <c r="A170" s="46" t="s">
        <v>2109</v>
      </c>
      <c r="B170" s="46" t="s">
        <v>107</v>
      </c>
      <c r="C170" s="49" t="s">
        <v>2110</v>
      </c>
      <c r="D170" s="49" t="s">
        <v>850</v>
      </c>
      <c r="E170" s="46" t="s">
        <v>2111</v>
      </c>
      <c r="F170" s="49" t="s">
        <v>2112</v>
      </c>
      <c r="G170" s="46" t="s">
        <v>2113</v>
      </c>
      <c r="H170" s="49" t="s">
        <v>2114</v>
      </c>
      <c r="I170" s="49" t="s">
        <v>2115</v>
      </c>
      <c r="J170" s="49" t="s">
        <v>2116</v>
      </c>
      <c r="K170" s="49" t="s">
        <v>1981</v>
      </c>
      <c r="L170" s="49" t="s">
        <v>2117</v>
      </c>
      <c r="M170" s="48" t="str">
        <f>HYPERLINK("https://law.justia.com/cases/georgia/court-of-appeals/2023/a23a0620.html","https://law.justia.com/cases/georgia/court-of-appeals/2023/a23a0620.html")</f>
        <v>https://law.justia.com/cases/georgia/court-of-appeals/2023/a23a0620.html</v>
      </c>
      <c r="N170" s="49" t="s">
        <v>2118</v>
      </c>
      <c r="O170" s="49" t="s">
        <v>2119</v>
      </c>
      <c r="P170" s="46" t="s">
        <v>2120</v>
      </c>
      <c r="Q170" s="49" t="s">
        <v>20</v>
      </c>
    </row>
    <row r="171" spans="1:17" ht="179.75" customHeight="1" x14ac:dyDescent="0.35">
      <c r="A171" s="46" t="s">
        <v>2121</v>
      </c>
      <c r="B171" s="46" t="s">
        <v>107</v>
      </c>
      <c r="C171" s="49" t="s">
        <v>2122</v>
      </c>
      <c r="D171" s="49" t="s">
        <v>122</v>
      </c>
      <c r="E171" s="46" t="s">
        <v>2123</v>
      </c>
      <c r="F171" s="49" t="s">
        <v>2124</v>
      </c>
      <c r="G171" s="46" t="s">
        <v>2125</v>
      </c>
      <c r="H171" s="49" t="s">
        <v>2126</v>
      </c>
      <c r="I171" s="49" t="s">
        <v>2127</v>
      </c>
      <c r="J171" s="49" t="s">
        <v>2128</v>
      </c>
      <c r="K171" s="49" t="s">
        <v>1853</v>
      </c>
      <c r="L171" s="49" t="s">
        <v>2129</v>
      </c>
      <c r="M171" s="48" t="str">
        <f>HYPERLINK("https://law.justia.com/cases/texas/second-court-of-appeals/2026/02-25-00167-cv.html","https://law.justia.com/cases/texas/second-court-of-appeals/2026/02-25-00167-cv.html")</f>
        <v>https://law.justia.com/cases/texas/second-court-of-appeals/2026/02-25-00167-cv.html</v>
      </c>
      <c r="N171" s="49" t="s">
        <v>2130</v>
      </c>
      <c r="O171" s="49" t="s">
        <v>2131</v>
      </c>
      <c r="P171" s="46" t="s">
        <v>2132</v>
      </c>
      <c r="Q171" s="49" t="s">
        <v>20</v>
      </c>
    </row>
    <row r="172" spans="1:17" ht="179.75" customHeight="1" x14ac:dyDescent="0.35">
      <c r="A172" s="46" t="s">
        <v>2133</v>
      </c>
      <c r="B172" s="46" t="s">
        <v>107</v>
      </c>
      <c r="C172" s="49" t="s">
        <v>2134</v>
      </c>
      <c r="D172" s="49" t="s">
        <v>850</v>
      </c>
      <c r="E172" s="46" t="s">
        <v>2135</v>
      </c>
      <c r="F172" s="49" t="s">
        <v>2136</v>
      </c>
      <c r="G172" s="46" t="s">
        <v>2137</v>
      </c>
      <c r="H172" s="49" t="s">
        <v>2138</v>
      </c>
      <c r="I172" s="49" t="s">
        <v>2139</v>
      </c>
      <c r="J172" s="49" t="s">
        <v>2140</v>
      </c>
      <c r="K172" s="49" t="s">
        <v>1981</v>
      </c>
      <c r="L172" s="49" t="s">
        <v>2141</v>
      </c>
      <c r="M172" s="48" t="str">
        <f>HYPERLINK("https://law.justia.com/cases/georgia/court-of-appeals/2022/a22a0878.html","https://law.justia.com/cases/georgia/court-of-appeals/2022/a22a0878.html")</f>
        <v>https://law.justia.com/cases/georgia/court-of-appeals/2022/a22a0878.html</v>
      </c>
      <c r="N172" s="49" t="s">
        <v>2142</v>
      </c>
      <c r="O172" s="49" t="s">
        <v>2143</v>
      </c>
      <c r="P172" s="46" t="s">
        <v>2144</v>
      </c>
      <c r="Q172" s="49" t="s">
        <v>20</v>
      </c>
    </row>
    <row r="173" spans="1:17" ht="179.75" customHeight="1" x14ac:dyDescent="0.35">
      <c r="A173" s="46" t="s">
        <v>2145</v>
      </c>
      <c r="B173" s="46" t="s">
        <v>107</v>
      </c>
      <c r="C173" s="49" t="s">
        <v>2146</v>
      </c>
      <c r="D173" s="49" t="s">
        <v>1337</v>
      </c>
      <c r="E173" s="46" t="s">
        <v>2147</v>
      </c>
      <c r="F173" s="49" t="s">
        <v>2148</v>
      </c>
      <c r="G173" s="46" t="s">
        <v>2149</v>
      </c>
      <c r="H173" s="49" t="s">
        <v>2150</v>
      </c>
      <c r="I173" s="49" t="s">
        <v>2151</v>
      </c>
      <c r="J173" s="49" t="s">
        <v>2152</v>
      </c>
      <c r="K173" s="49" t="s">
        <v>1769</v>
      </c>
      <c r="L173" s="49" t="s">
        <v>2153</v>
      </c>
      <c r="M173" s="48" t="str">
        <f>HYPERLINK("https://law.justia.com/cases/new-jersey/appellate-division-unpublished/2022/a-3599-20.html","https://law.justia.com/cases/new-jersey/appellate-division-unpublished/2022/a-3599-20.html")</f>
        <v>https://law.justia.com/cases/new-jersey/appellate-division-unpublished/2022/a-3599-20.html</v>
      </c>
      <c r="N173" s="49" t="s">
        <v>2154</v>
      </c>
      <c r="O173" s="49" t="s">
        <v>2155</v>
      </c>
      <c r="P173" s="46" t="s">
        <v>2156</v>
      </c>
      <c r="Q173" s="49" t="s">
        <v>20</v>
      </c>
    </row>
    <row r="174" spans="1:17" ht="179.75" customHeight="1" x14ac:dyDescent="0.35">
      <c r="A174" s="46" t="s">
        <v>2157</v>
      </c>
      <c r="B174" s="46" t="s">
        <v>2073</v>
      </c>
      <c r="C174" s="49" t="s">
        <v>2158</v>
      </c>
      <c r="D174" s="49" t="s">
        <v>122</v>
      </c>
      <c r="E174" s="46" t="s">
        <v>2159</v>
      </c>
      <c r="F174" s="49" t="s">
        <v>2160</v>
      </c>
      <c r="G174" s="46" t="s">
        <v>2161</v>
      </c>
      <c r="H174" s="49" t="s">
        <v>2162</v>
      </c>
      <c r="I174" s="49" t="s">
        <v>2163</v>
      </c>
      <c r="J174" s="49" t="s">
        <v>2164</v>
      </c>
      <c r="K174" s="49" t="s">
        <v>1853</v>
      </c>
      <c r="L174" s="49" t="s">
        <v>2165</v>
      </c>
      <c r="M174" s="48" t="str">
        <f>HYPERLINK("https://law.justia.com/cases/texas/fourth-court-of-appeals/2025/04-24-00380-cv.html","https://law.justia.com/cases/texas/fourth-court-of-appeals/2025/04-24-00380-cv.html")</f>
        <v>https://law.justia.com/cases/texas/fourth-court-of-appeals/2025/04-24-00380-cv.html</v>
      </c>
      <c r="N174" s="49" t="s">
        <v>2166</v>
      </c>
      <c r="O174" s="49" t="s">
        <v>2167</v>
      </c>
      <c r="P174" s="46" t="s">
        <v>2168</v>
      </c>
      <c r="Q174" s="49" t="s">
        <v>20</v>
      </c>
    </row>
    <row r="175" spans="1:17" ht="179.75" customHeight="1" x14ac:dyDescent="0.35">
      <c r="A175" s="46" t="s">
        <v>2169</v>
      </c>
      <c r="B175" s="46" t="s">
        <v>107</v>
      </c>
      <c r="C175" s="49" t="s">
        <v>2170</v>
      </c>
      <c r="D175" s="49" t="s">
        <v>792</v>
      </c>
      <c r="E175" s="46" t="s">
        <v>2171</v>
      </c>
      <c r="F175" s="49" t="s">
        <v>2172</v>
      </c>
      <c r="G175" s="46" t="s">
        <v>2173</v>
      </c>
      <c r="H175" s="49" t="s">
        <v>2174</v>
      </c>
      <c r="I175" s="49" t="s">
        <v>2175</v>
      </c>
      <c r="J175" s="49" t="s">
        <v>2176</v>
      </c>
      <c r="K175" s="49" t="s">
        <v>2177</v>
      </c>
      <c r="L175" s="49" t="s">
        <v>2178</v>
      </c>
      <c r="M175" s="48" t="str">
        <f>HYPERLINK("https://law.justia.com/cases/kentucky/court-of-appeals/2026/2024-ca-0650-mr.html","https://law.justia.com/cases/kentucky/court-of-appeals/2026/2024-ca-0650-mr.html")</f>
        <v>https://law.justia.com/cases/kentucky/court-of-appeals/2026/2024-ca-0650-mr.html</v>
      </c>
      <c r="N175" s="49" t="s">
        <v>2179</v>
      </c>
      <c r="O175" s="49" t="s">
        <v>2180</v>
      </c>
      <c r="P175" s="46" t="s">
        <v>2181</v>
      </c>
      <c r="Q175" s="49" t="s">
        <v>20</v>
      </c>
    </row>
    <row r="176" spans="1:17" ht="179.75" customHeight="1" x14ac:dyDescent="0.35">
      <c r="A176" s="46" t="s">
        <v>2182</v>
      </c>
      <c r="B176" s="46" t="s">
        <v>107</v>
      </c>
      <c r="C176" s="47" t="s">
        <v>2183</v>
      </c>
      <c r="D176" s="47" t="s">
        <v>429</v>
      </c>
      <c r="E176" s="46" t="s">
        <v>2184</v>
      </c>
      <c r="F176" s="47" t="s">
        <v>1964</v>
      </c>
      <c r="G176" s="46" t="s">
        <v>2185</v>
      </c>
      <c r="H176" s="47" t="s">
        <v>2186</v>
      </c>
      <c r="I176" s="47" t="s">
        <v>2187</v>
      </c>
      <c r="J176" s="47" t="s">
        <v>2188</v>
      </c>
      <c r="K176" s="47" t="s">
        <v>2189</v>
      </c>
      <c r="L176" s="47" t="s">
        <v>2190</v>
      </c>
      <c r="M176" s="48" t="str">
        <f>HYPERLINK("https://law.justia.com/cases/indiana/court-of-appeals/2022/21a-pl-00411.html","https://law.justia.com/cases/indiana/court-of-appeals/2022/21a-pl-00411.html")</f>
        <v>https://law.justia.com/cases/indiana/court-of-appeals/2022/21a-pl-00411.html</v>
      </c>
      <c r="N176" s="47" t="s">
        <v>2191</v>
      </c>
      <c r="O176" s="47" t="s">
        <v>2192</v>
      </c>
      <c r="P176" s="46" t="s">
        <v>2193</v>
      </c>
      <c r="Q176" s="46" t="s">
        <v>20</v>
      </c>
    </row>
    <row r="177" spans="1:17" ht="179.75" customHeight="1" x14ac:dyDescent="0.35">
      <c r="A177" s="46" t="s">
        <v>2194</v>
      </c>
      <c r="B177" s="46" t="s">
        <v>107</v>
      </c>
      <c r="C177" s="47" t="s">
        <v>2195</v>
      </c>
      <c r="D177" s="47" t="s">
        <v>122</v>
      </c>
      <c r="E177" s="46" t="s">
        <v>2196</v>
      </c>
      <c r="F177" s="47" t="s">
        <v>2197</v>
      </c>
      <c r="G177" s="46" t="s">
        <v>2198</v>
      </c>
      <c r="H177" s="47" t="s">
        <v>2199</v>
      </c>
      <c r="I177" s="47" t="s">
        <v>2200</v>
      </c>
      <c r="J177" s="47" t="s">
        <v>2201</v>
      </c>
      <c r="K177" s="47" t="s">
        <v>1853</v>
      </c>
      <c r="L177" s="47" t="s">
        <v>2202</v>
      </c>
      <c r="M177" s="48" t="str">
        <f>HYPERLINK("https://law.justia.com/cases/texas/fifth-court-of-appeals/2010/05-08-00916-cv-13.html","https://law.justia.com/cases/texas/fifth-court-of-appeals/2010/05-08-00916-cv-13.html")</f>
        <v>https://law.justia.com/cases/texas/fifth-court-of-appeals/2010/05-08-00916-cv-13.html</v>
      </c>
      <c r="N177" s="47" t="s">
        <v>2203</v>
      </c>
      <c r="O177" s="47" t="s">
        <v>2204</v>
      </c>
      <c r="P177" s="46" t="s">
        <v>2205</v>
      </c>
      <c r="Q177" s="46" t="s">
        <v>20</v>
      </c>
    </row>
    <row r="178" spans="1:17" ht="179.75" customHeight="1" x14ac:dyDescent="0.35">
      <c r="A178" s="46" t="s">
        <v>2206</v>
      </c>
      <c r="B178" s="46" t="s">
        <v>107</v>
      </c>
      <c r="C178" s="47" t="s">
        <v>2207</v>
      </c>
      <c r="D178" s="47" t="s">
        <v>122</v>
      </c>
      <c r="E178" s="46" t="s">
        <v>2208</v>
      </c>
      <c r="F178" s="47" t="s">
        <v>1964</v>
      </c>
      <c r="G178" s="46" t="s">
        <v>2209</v>
      </c>
      <c r="H178" s="47" t="s">
        <v>2210</v>
      </c>
      <c r="I178" s="47" t="s">
        <v>2211</v>
      </c>
      <c r="J178" s="47" t="s">
        <v>2212</v>
      </c>
      <c r="K178" s="47" t="s">
        <v>1853</v>
      </c>
      <c r="L178" s="47" t="s">
        <v>2213</v>
      </c>
      <c r="M178" s="48" t="str">
        <f>HYPERLINK("https://law.justia.com/cases/texas/second-court-of-appeals/2024/02-22-00192-cv.html","https://law.justia.com/cases/texas/second-court-of-appeals/2024/02-22-00192-cv.html")</f>
        <v>https://law.justia.com/cases/texas/second-court-of-appeals/2024/02-22-00192-cv.html</v>
      </c>
      <c r="N178" s="47" t="s">
        <v>2214</v>
      </c>
      <c r="O178" s="47" t="s">
        <v>2215</v>
      </c>
      <c r="P178" s="46" t="s">
        <v>2216</v>
      </c>
      <c r="Q178" s="46" t="s">
        <v>20</v>
      </c>
    </row>
    <row r="179" spans="1:17" ht="179.75" customHeight="1" x14ac:dyDescent="0.35">
      <c r="A179" s="46" t="s">
        <v>2217</v>
      </c>
      <c r="B179" s="46" t="s">
        <v>107</v>
      </c>
      <c r="C179" s="47" t="s">
        <v>2218</v>
      </c>
      <c r="D179" s="47" t="s">
        <v>183</v>
      </c>
      <c r="E179" s="46" t="s">
        <v>2219</v>
      </c>
      <c r="F179" s="47" t="s">
        <v>2026</v>
      </c>
      <c r="G179" s="46" t="s">
        <v>2220</v>
      </c>
      <c r="H179" s="47" t="s">
        <v>2221</v>
      </c>
      <c r="I179" s="47" t="s">
        <v>2222</v>
      </c>
      <c r="J179" s="47" t="s">
        <v>2223</v>
      </c>
      <c r="K179" s="47" t="s">
        <v>2104</v>
      </c>
      <c r="L179" s="47" t="s">
        <v>2224</v>
      </c>
      <c r="M179" s="48" t="str">
        <f>HYPERLINK("https://law.justia.com/cases/ohio/tenth-district-court-of-appeals/2010/2010-ohio-1023.html","https://law.justia.com/cases/ohio/tenth-district-court-of-appeals/2010/2010-ohio-1023.html")</f>
        <v>https://law.justia.com/cases/ohio/tenth-district-court-of-appeals/2010/2010-ohio-1023.html</v>
      </c>
      <c r="N179" s="47" t="s">
        <v>2225</v>
      </c>
      <c r="O179" s="47" t="s">
        <v>2226</v>
      </c>
      <c r="P179" s="46" t="s">
        <v>2227</v>
      </c>
      <c r="Q179" s="46" t="s">
        <v>20</v>
      </c>
    </row>
    <row r="180" spans="1:17" ht="179.75" customHeight="1" x14ac:dyDescent="0.35">
      <c r="A180" s="46" t="s">
        <v>2228</v>
      </c>
      <c r="B180" s="46" t="s">
        <v>107</v>
      </c>
      <c r="C180" s="47" t="s">
        <v>2229</v>
      </c>
      <c r="D180" s="47" t="s">
        <v>296</v>
      </c>
      <c r="E180" s="46" t="s">
        <v>2230</v>
      </c>
      <c r="F180" s="47" t="s">
        <v>2231</v>
      </c>
      <c r="G180" s="46" t="s">
        <v>2232</v>
      </c>
      <c r="H180" s="47" t="s">
        <v>2233</v>
      </c>
      <c r="I180" s="47" t="s">
        <v>2234</v>
      </c>
      <c r="J180" s="47" t="s">
        <v>2235</v>
      </c>
      <c r="K180" s="47" t="s">
        <v>2067</v>
      </c>
      <c r="L180" s="47" t="s">
        <v>2236</v>
      </c>
      <c r="M180" s="48" t="str">
        <f>HYPERLINK("https://law.justia.com/cases/illinois/court-of-appeals-first-appellate-district/2022/1-20-0362.html","https://law.justia.com/cases/illinois/court-of-appeals-first-appellate-district/2022/1-20-0362.html")</f>
        <v>https://law.justia.com/cases/illinois/court-of-appeals-first-appellate-district/2022/1-20-0362.html</v>
      </c>
      <c r="N180" s="47" t="s">
        <v>2237</v>
      </c>
      <c r="O180" s="47" t="s">
        <v>2238</v>
      </c>
      <c r="P180" s="46" t="s">
        <v>2239</v>
      </c>
      <c r="Q180" s="46" t="s">
        <v>20</v>
      </c>
    </row>
    <row r="181" spans="1:17" ht="179.75" customHeight="1" x14ac:dyDescent="0.35">
      <c r="A181" s="46" t="s">
        <v>2240</v>
      </c>
      <c r="B181" s="46" t="s">
        <v>107</v>
      </c>
      <c r="C181" s="47" t="s">
        <v>2241</v>
      </c>
      <c r="D181" s="47" t="s">
        <v>679</v>
      </c>
      <c r="E181" s="46" t="s">
        <v>2242</v>
      </c>
      <c r="F181" s="47" t="s">
        <v>2243</v>
      </c>
      <c r="G181" s="46" t="s">
        <v>2244</v>
      </c>
      <c r="H181" s="47" t="s">
        <v>2245</v>
      </c>
      <c r="I181" s="47" t="s">
        <v>2246</v>
      </c>
      <c r="J181" s="47" t="s">
        <v>2247</v>
      </c>
      <c r="K181" s="47" t="s">
        <v>2248</v>
      </c>
      <c r="L181" s="47" t="s">
        <v>2249</v>
      </c>
      <c r="M181" s="48" t="str">
        <f>HYPERLINK("https://law.justia.com/cases/federal/appellate-courts/ca10/21-4035/21-4035-2022-07-06.html","https://law.justia.com/cases/federal/appellate-courts/ca10/21-4035/21-4035-2022-07-06.html")</f>
        <v>https://law.justia.com/cases/federal/appellate-courts/ca10/21-4035/21-4035-2022-07-06.html</v>
      </c>
      <c r="N181" s="47" t="s">
        <v>2250</v>
      </c>
      <c r="O181" s="47" t="s">
        <v>2251</v>
      </c>
      <c r="P181" s="46" t="s">
        <v>2252</v>
      </c>
      <c r="Q181" s="46" t="s">
        <v>20</v>
      </c>
    </row>
    <row r="182" spans="1:17" ht="179.75" customHeight="1" x14ac:dyDescent="0.35">
      <c r="A182" s="46" t="s">
        <v>2253</v>
      </c>
      <c r="B182" s="46" t="s">
        <v>107</v>
      </c>
      <c r="C182" s="47" t="s">
        <v>2254</v>
      </c>
      <c r="D182" s="47" t="s">
        <v>1133</v>
      </c>
      <c r="E182" s="46" t="s">
        <v>2255</v>
      </c>
      <c r="F182" s="47" t="s">
        <v>2256</v>
      </c>
      <c r="G182" s="46" t="s">
        <v>2257</v>
      </c>
      <c r="H182" s="47" t="s">
        <v>2258</v>
      </c>
      <c r="I182" s="47" t="s">
        <v>2259</v>
      </c>
      <c r="J182" s="47" t="s">
        <v>2260</v>
      </c>
      <c r="K182" s="47" t="s">
        <v>2261</v>
      </c>
      <c r="L182" s="47" t="s">
        <v>2262</v>
      </c>
      <c r="M182" s="48" t="str">
        <f>HYPERLINK("https://law.justia.com/cases/louisiana/first-circuit-court-of-appeal/2022/2021ca0901.html","https://law.justia.com/cases/louisiana/first-circuit-court-of-appeal/2022/2021ca0901.html")</f>
        <v>https://law.justia.com/cases/louisiana/first-circuit-court-of-appeal/2022/2021ca0901.html</v>
      </c>
      <c r="N182" s="47" t="s">
        <v>2263</v>
      </c>
      <c r="O182" s="47" t="s">
        <v>2264</v>
      </c>
      <c r="P182" s="46" t="s">
        <v>2265</v>
      </c>
      <c r="Q182" s="46" t="s">
        <v>20</v>
      </c>
    </row>
    <row r="183" spans="1:17" ht="179.75" customHeight="1" x14ac:dyDescent="0.35">
      <c r="A183" s="46" t="s">
        <v>2266</v>
      </c>
      <c r="B183" s="46" t="s">
        <v>107</v>
      </c>
      <c r="C183" s="47" t="s">
        <v>2267</v>
      </c>
      <c r="D183" s="47" t="s">
        <v>1486</v>
      </c>
      <c r="E183" s="46" t="s">
        <v>2268</v>
      </c>
      <c r="F183" s="47" t="s">
        <v>2269</v>
      </c>
      <c r="G183" s="46" t="s">
        <v>2270</v>
      </c>
      <c r="H183" s="47" t="s">
        <v>2271</v>
      </c>
      <c r="I183" s="47" t="s">
        <v>2272</v>
      </c>
      <c r="J183" s="47" t="s">
        <v>2273</v>
      </c>
      <c r="K183" s="47" t="s">
        <v>2274</v>
      </c>
      <c r="L183" s="47" t="s">
        <v>2275</v>
      </c>
      <c r="M183" s="48" t="str">
        <f>HYPERLINK("https://law.justia.com/cases/michigan/court-of-appeals-unpublished/2025/364582.html","https://law.justia.com/cases/michigan/court-of-appeals-unpublished/2025/364582.html")</f>
        <v>https://law.justia.com/cases/michigan/court-of-appeals-unpublished/2025/364582.html</v>
      </c>
      <c r="N183" s="47" t="s">
        <v>2276</v>
      </c>
      <c r="O183" s="47" t="s">
        <v>2277</v>
      </c>
      <c r="P183" s="46" t="s">
        <v>2278</v>
      </c>
      <c r="Q183" s="46" t="s">
        <v>20</v>
      </c>
    </row>
    <row r="184" spans="1:17" ht="179.75" customHeight="1" x14ac:dyDescent="0.35">
      <c r="A184" s="46" t="s">
        <v>2279</v>
      </c>
      <c r="B184" s="46" t="s">
        <v>107</v>
      </c>
      <c r="C184" s="49" t="s">
        <v>2280</v>
      </c>
      <c r="D184" s="49" t="s">
        <v>183</v>
      </c>
      <c r="E184" s="46" t="s">
        <v>2281</v>
      </c>
      <c r="F184" s="49" t="s">
        <v>2282</v>
      </c>
      <c r="G184" s="46" t="s">
        <v>2283</v>
      </c>
      <c r="H184" s="49" t="s">
        <v>2284</v>
      </c>
      <c r="I184" s="49" t="s">
        <v>2285</v>
      </c>
      <c r="J184" s="49" t="s">
        <v>2286</v>
      </c>
      <c r="K184" s="49" t="s">
        <v>2104</v>
      </c>
      <c r="L184" s="49" t="s">
        <v>2287</v>
      </c>
      <c r="M184" s="48" t="str">
        <f>HYPERLINK("https://law.justia.com/cases/ohio/tenth-district-court-of-appeals/2025/24ap-583.html","https://law.justia.com/cases/ohio/tenth-district-court-of-appeals/2025/24ap-583.html")</f>
        <v>https://law.justia.com/cases/ohio/tenth-district-court-of-appeals/2025/24ap-583.html</v>
      </c>
      <c r="N184" s="49" t="s">
        <v>2288</v>
      </c>
      <c r="O184" s="49" t="s">
        <v>2289</v>
      </c>
      <c r="P184" s="46" t="s">
        <v>2290</v>
      </c>
      <c r="Q184" s="49" t="s">
        <v>20</v>
      </c>
    </row>
    <row r="185" spans="1:17" ht="179.75" customHeight="1" x14ac:dyDescent="0.35">
      <c r="A185" s="46" t="s">
        <v>2291</v>
      </c>
      <c r="B185" s="46" t="s">
        <v>107</v>
      </c>
      <c r="C185" s="49" t="s">
        <v>2292</v>
      </c>
      <c r="D185" s="49" t="s">
        <v>679</v>
      </c>
      <c r="E185" s="46" t="s">
        <v>2293</v>
      </c>
      <c r="F185" s="49" t="s">
        <v>2294</v>
      </c>
      <c r="G185" s="46" t="s">
        <v>2295</v>
      </c>
      <c r="H185" s="49" t="s">
        <v>2296</v>
      </c>
      <c r="I185" s="49" t="s">
        <v>2297</v>
      </c>
      <c r="J185" s="49" t="s">
        <v>2298</v>
      </c>
      <c r="K185" s="49" t="s">
        <v>2299</v>
      </c>
      <c r="L185" s="49" t="s">
        <v>2300</v>
      </c>
      <c r="M185" s="48" t="str">
        <f>HYPERLINK("https://law.justia.com/cases/utah/court-of-appeals-published/2022/20191079-ca.html","https://law.justia.com/cases/utah/court-of-appeals-published/2022/20191079-ca.html")</f>
        <v>https://law.justia.com/cases/utah/court-of-appeals-published/2022/20191079-ca.html</v>
      </c>
      <c r="N185" s="49" t="s">
        <v>2237</v>
      </c>
      <c r="O185" s="49" t="s">
        <v>2301</v>
      </c>
      <c r="P185" s="46" t="s">
        <v>2302</v>
      </c>
      <c r="Q185" s="49" t="s">
        <v>20</v>
      </c>
    </row>
    <row r="186" spans="1:17" ht="179.75" customHeight="1" x14ac:dyDescent="0.35">
      <c r="A186" s="46" t="s">
        <v>2303</v>
      </c>
      <c r="B186" s="46" t="s">
        <v>107</v>
      </c>
      <c r="C186" s="49" t="s">
        <v>2304</v>
      </c>
      <c r="D186" s="49" t="s">
        <v>756</v>
      </c>
      <c r="E186" s="46" t="s">
        <v>2305</v>
      </c>
      <c r="F186" s="49" t="s">
        <v>1729</v>
      </c>
      <c r="G186" s="46" t="s">
        <v>2306</v>
      </c>
      <c r="H186" s="49" t="s">
        <v>2307</v>
      </c>
      <c r="I186" s="49" t="s">
        <v>2308</v>
      </c>
      <c r="J186" s="49" t="s">
        <v>2309</v>
      </c>
      <c r="K186" s="49" t="s">
        <v>2310</v>
      </c>
      <c r="L186" s="49" t="s">
        <v>2311</v>
      </c>
      <c r="M186" s="48" t="str">
        <f>HYPERLINK("https://law.justia.com/cases/pennsylvania/commonwealth-court/2024/1125-c-d-2022.html","https://law.justia.com/cases/pennsylvania/commonwealth-court/2024/1125-c-d-2022.html")</f>
        <v>https://law.justia.com/cases/pennsylvania/commonwealth-court/2024/1125-c-d-2022.html</v>
      </c>
      <c r="N186" s="49" t="s">
        <v>2312</v>
      </c>
      <c r="O186" s="49" t="s">
        <v>2313</v>
      </c>
      <c r="P186" s="46" t="s">
        <v>2314</v>
      </c>
      <c r="Q186" s="49" t="s">
        <v>20</v>
      </c>
    </row>
    <row r="187" spans="1:17" ht="179.75" customHeight="1" x14ac:dyDescent="0.35">
      <c r="A187" s="46" t="s">
        <v>2315</v>
      </c>
      <c r="B187" s="46" t="s">
        <v>2073</v>
      </c>
      <c r="C187" s="49" t="s">
        <v>2316</v>
      </c>
      <c r="D187" s="49" t="s">
        <v>195</v>
      </c>
      <c r="E187" s="46" t="s">
        <v>2317</v>
      </c>
      <c r="F187" s="49" t="s">
        <v>2172</v>
      </c>
      <c r="G187" s="46" t="s">
        <v>2318</v>
      </c>
      <c r="H187" s="49" t="s">
        <v>2319</v>
      </c>
      <c r="I187" s="49" t="s">
        <v>2320</v>
      </c>
      <c r="J187" s="49" t="s">
        <v>2321</v>
      </c>
      <c r="K187" s="49" t="s">
        <v>2322</v>
      </c>
      <c r="L187" s="49" t="s">
        <v>2323</v>
      </c>
      <c r="M187" s="48" t="str">
        <f>HYPERLINK("https://law.justia.com/cases/california/court-of-appeal/2023/d080208.html","https://law.justia.com/cases/california/court-of-appeal/2023/d080208.html")</f>
        <v>https://law.justia.com/cases/california/court-of-appeal/2023/d080208.html</v>
      </c>
      <c r="N187" s="49" t="s">
        <v>2324</v>
      </c>
      <c r="O187" s="49" t="s">
        <v>2325</v>
      </c>
      <c r="P187" s="46" t="s">
        <v>2326</v>
      </c>
      <c r="Q187" s="49" t="s">
        <v>20</v>
      </c>
    </row>
    <row r="188" spans="1:17" ht="179.75" customHeight="1" x14ac:dyDescent="0.35">
      <c r="A188" s="46" t="s">
        <v>2327</v>
      </c>
      <c r="B188" s="46" t="s">
        <v>107</v>
      </c>
      <c r="C188" s="49" t="s">
        <v>2328</v>
      </c>
      <c r="D188" s="49" t="s">
        <v>195</v>
      </c>
      <c r="E188" s="46" t="s">
        <v>2329</v>
      </c>
      <c r="F188" s="49" t="s">
        <v>2026</v>
      </c>
      <c r="G188" s="46" t="s">
        <v>2330</v>
      </c>
      <c r="H188" s="49" t="s">
        <v>2331</v>
      </c>
      <c r="I188" s="49" t="s">
        <v>2332</v>
      </c>
      <c r="J188" s="49" t="s">
        <v>2333</v>
      </c>
      <c r="K188" s="49" t="s">
        <v>2322</v>
      </c>
      <c r="L188" s="49" t="s">
        <v>2334</v>
      </c>
      <c r="M188" s="48" t="str">
        <f>HYPERLINK("https://law.justia.com/cases/california/court-of-appeal/2019/b282241.html","https://law.justia.com/cases/california/court-of-appeal/2019/b282241.html")</f>
        <v>https://law.justia.com/cases/california/court-of-appeal/2019/b282241.html</v>
      </c>
      <c r="N188" s="49" t="s">
        <v>2335</v>
      </c>
      <c r="O188" s="49" t="s">
        <v>2336</v>
      </c>
      <c r="P188" s="46" t="s">
        <v>2337</v>
      </c>
      <c r="Q188" s="49" t="s">
        <v>20</v>
      </c>
    </row>
    <row r="189" spans="1:17" ht="179.75" customHeight="1" x14ac:dyDescent="0.35">
      <c r="A189" s="46" t="s">
        <v>2338</v>
      </c>
      <c r="B189" s="46" t="s">
        <v>107</v>
      </c>
      <c r="C189" s="47" t="s">
        <v>2339</v>
      </c>
      <c r="D189" s="47" t="s">
        <v>756</v>
      </c>
      <c r="E189" s="46" t="s">
        <v>2340</v>
      </c>
      <c r="F189" s="47" t="s">
        <v>2099</v>
      </c>
      <c r="G189" s="46" t="s">
        <v>2341</v>
      </c>
      <c r="H189" s="47" t="s">
        <v>2342</v>
      </c>
      <c r="I189" s="47" t="s">
        <v>2343</v>
      </c>
      <c r="J189" s="47" t="s">
        <v>2344</v>
      </c>
      <c r="K189" s="47" t="s">
        <v>2310</v>
      </c>
      <c r="L189" s="47" t="s">
        <v>2345</v>
      </c>
      <c r="M189" s="48" t="str">
        <f>HYPERLINK("https://law.justia.com/cases/pennsylvania/commonwealth-court/2024/16-c-d-2023.html","https://law.justia.com/cases/pennsylvania/commonwealth-court/2024/16-c-d-2023.html")</f>
        <v>https://law.justia.com/cases/pennsylvania/commonwealth-court/2024/16-c-d-2023.html</v>
      </c>
      <c r="N189" s="47" t="s">
        <v>2237</v>
      </c>
      <c r="O189" s="47" t="s">
        <v>2346</v>
      </c>
      <c r="P189" s="46" t="s">
        <v>2347</v>
      </c>
      <c r="Q189" s="46" t="s">
        <v>20</v>
      </c>
    </row>
    <row r="190" spans="1:17" ht="179.75" customHeight="1" x14ac:dyDescent="0.35">
      <c r="A190" s="46" t="s">
        <v>2348</v>
      </c>
      <c r="B190" s="46" t="s">
        <v>107</v>
      </c>
      <c r="C190" s="47" t="s">
        <v>2349</v>
      </c>
      <c r="D190" s="47" t="s">
        <v>1690</v>
      </c>
      <c r="E190" s="46" t="s">
        <v>2350</v>
      </c>
      <c r="F190" s="47" t="s">
        <v>2351</v>
      </c>
      <c r="G190" s="46" t="s">
        <v>2352</v>
      </c>
      <c r="H190" s="47" t="s">
        <v>2353</v>
      </c>
      <c r="I190" s="47" t="s">
        <v>2354</v>
      </c>
      <c r="J190" s="47" t="s">
        <v>2355</v>
      </c>
      <c r="K190" s="47" t="s">
        <v>2356</v>
      </c>
      <c r="L190" s="47" t="s">
        <v>2357</v>
      </c>
      <c r="M190" s="48" t="str">
        <f>HYPERLINK("https://law.justia.com/cases/federal/district-courts/hawaii/hidce/1%3A2024cv00492/171803/26/","https://law.justia.com/cases/federal/district-courts/hawaii/hidce/1%3A2024cv00492/171803/26/")</f>
        <v>https://law.justia.com/cases/federal/district-courts/hawaii/hidce/1%3A2024cv00492/171803/26/</v>
      </c>
      <c r="N190" s="47" t="s">
        <v>2358</v>
      </c>
      <c r="O190" s="47" t="s">
        <v>2359</v>
      </c>
      <c r="P190" s="46" t="s">
        <v>2360</v>
      </c>
      <c r="Q190" s="46" t="s">
        <v>20</v>
      </c>
    </row>
    <row r="191" spans="1:17" ht="179.75" customHeight="1" x14ac:dyDescent="0.35">
      <c r="A191" s="46" t="s">
        <v>2361</v>
      </c>
      <c r="B191" s="46" t="s">
        <v>107</v>
      </c>
      <c r="C191" s="47" t="s">
        <v>2362</v>
      </c>
      <c r="D191" s="47" t="s">
        <v>850</v>
      </c>
      <c r="E191" s="46" t="s">
        <v>2363</v>
      </c>
      <c r="F191" s="47" t="s">
        <v>2148</v>
      </c>
      <c r="G191" s="46" t="s">
        <v>2364</v>
      </c>
      <c r="H191" s="47" t="s">
        <v>2365</v>
      </c>
      <c r="I191" s="47" t="s">
        <v>2366</v>
      </c>
      <c r="J191" s="47" t="s">
        <v>2367</v>
      </c>
      <c r="K191" s="47" t="s">
        <v>1981</v>
      </c>
      <c r="L191" s="47" t="s">
        <v>2368</v>
      </c>
      <c r="M191" s="48" t="str">
        <f>HYPERLINK("https://law.justia.com/cases/georgia/court-of-appeals/2014/a14a1134.html","https://law.justia.com/cases/georgia/court-of-appeals/2014/a14a1134.html")</f>
        <v>https://law.justia.com/cases/georgia/court-of-appeals/2014/a14a1134.html</v>
      </c>
      <c r="N191" s="47" t="s">
        <v>2369</v>
      </c>
      <c r="O191" s="47" t="s">
        <v>2370</v>
      </c>
      <c r="P191" s="46" t="s">
        <v>2371</v>
      </c>
      <c r="Q191" s="46" t="s">
        <v>20</v>
      </c>
    </row>
    <row r="192" spans="1:17" ht="179.75" customHeight="1" x14ac:dyDescent="0.35">
      <c r="A192" s="46" t="s">
        <v>2372</v>
      </c>
      <c r="B192" s="46" t="s">
        <v>107</v>
      </c>
      <c r="C192" s="47" t="s">
        <v>2373</v>
      </c>
      <c r="D192" s="47" t="s">
        <v>504</v>
      </c>
      <c r="E192" s="46" t="s">
        <v>2374</v>
      </c>
      <c r="F192" s="47" t="s">
        <v>2375</v>
      </c>
      <c r="G192" s="46" t="s">
        <v>2376</v>
      </c>
      <c r="H192" s="47" t="s">
        <v>2377</v>
      </c>
      <c r="I192" s="47" t="s">
        <v>2378</v>
      </c>
      <c r="J192" s="47" t="s">
        <v>2379</v>
      </c>
      <c r="K192" s="47" t="s">
        <v>1865</v>
      </c>
      <c r="L192" s="47" t="s">
        <v>2380</v>
      </c>
      <c r="M192" s="48" t="str">
        <f>HYPERLINK("https://law.justia.com/cases/tennessee/court-of-appeals/2021/w2020-00873-coa-r3-cv.html","https://law.justia.com/cases/tennessee/court-of-appeals/2021/w2020-00873-coa-r3-cv.html")</f>
        <v>https://law.justia.com/cases/tennessee/court-of-appeals/2021/w2020-00873-coa-r3-cv.html</v>
      </c>
      <c r="N192" s="47" t="s">
        <v>2381</v>
      </c>
      <c r="O192" s="47" t="s">
        <v>2382</v>
      </c>
      <c r="P192" s="46" t="s">
        <v>2383</v>
      </c>
      <c r="Q192" s="46" t="s">
        <v>20</v>
      </c>
    </row>
    <row r="193" spans="1:17" ht="179.75" customHeight="1" x14ac:dyDescent="0.35">
      <c r="A193" s="46" t="s">
        <v>2384</v>
      </c>
      <c r="B193" s="46" t="s">
        <v>107</v>
      </c>
      <c r="C193" s="47" t="s">
        <v>2385</v>
      </c>
      <c r="D193" s="47" t="s">
        <v>429</v>
      </c>
      <c r="E193" s="46" t="s">
        <v>2386</v>
      </c>
      <c r="F193" s="47" t="s">
        <v>1964</v>
      </c>
      <c r="G193" s="46" t="s">
        <v>2387</v>
      </c>
      <c r="H193" s="47" t="s">
        <v>2388</v>
      </c>
      <c r="I193" s="47" t="s">
        <v>2389</v>
      </c>
      <c r="J193" s="47" t="s">
        <v>2390</v>
      </c>
      <c r="K193" s="47" t="s">
        <v>2189</v>
      </c>
      <c r="L193" s="47" t="s">
        <v>2391</v>
      </c>
      <c r="M193" s="48" t="str">
        <f>HYPERLINK("https://law.justia.com/cases/indiana/court-of-appeals/2025/24a-sc-00581.html","https://law.justia.com/cases/indiana/court-of-appeals/2025/24a-sc-00581.html")</f>
        <v>https://law.justia.com/cases/indiana/court-of-appeals/2025/24a-sc-00581.html</v>
      </c>
      <c r="N193" s="47" t="s">
        <v>2392</v>
      </c>
      <c r="O193" s="47" t="s">
        <v>2393</v>
      </c>
      <c r="P193" s="46" t="s">
        <v>2394</v>
      </c>
      <c r="Q193" s="46" t="s">
        <v>20</v>
      </c>
    </row>
    <row r="194" spans="1:17" ht="179.75" customHeight="1" x14ac:dyDescent="0.35">
      <c r="A194" s="46" t="s">
        <v>2395</v>
      </c>
      <c r="B194" s="46" t="s">
        <v>2073</v>
      </c>
      <c r="C194" s="47" t="s">
        <v>2396</v>
      </c>
      <c r="D194" s="47" t="s">
        <v>2397</v>
      </c>
      <c r="E194" s="46" t="s">
        <v>2398</v>
      </c>
      <c r="F194" s="47" t="s">
        <v>2026</v>
      </c>
      <c r="G194" s="46" t="s">
        <v>2399</v>
      </c>
      <c r="H194" s="47" t="s">
        <v>2400</v>
      </c>
      <c r="I194" s="47" t="s">
        <v>2401</v>
      </c>
      <c r="J194" s="47" t="s">
        <v>2402</v>
      </c>
      <c r="K194" s="47" t="s">
        <v>2403</v>
      </c>
      <c r="L194" s="47" t="s">
        <v>2404</v>
      </c>
      <c r="M194" s="48" t="str">
        <f>HYPERLINK("https://law.justia.com/cases/nebraska/supreme-court/2015/s-13-1047.html","https://law.justia.com/cases/nebraska/supreme-court/2015/s-13-1047.html")</f>
        <v>https://law.justia.com/cases/nebraska/supreme-court/2015/s-13-1047.html</v>
      </c>
      <c r="N194" s="47" t="s">
        <v>2405</v>
      </c>
      <c r="O194" s="47" t="s">
        <v>2406</v>
      </c>
      <c r="P194" s="46" t="s">
        <v>2407</v>
      </c>
      <c r="Q194" s="46" t="s">
        <v>20</v>
      </c>
    </row>
    <row r="195" spans="1:17" ht="179.75" customHeight="1" x14ac:dyDescent="0.35">
      <c r="A195" s="46" t="s">
        <v>2408</v>
      </c>
      <c r="B195" s="46" t="s">
        <v>107</v>
      </c>
      <c r="C195" s="47" t="s">
        <v>2409</v>
      </c>
      <c r="D195" s="47" t="s">
        <v>1337</v>
      </c>
      <c r="E195" s="46" t="s">
        <v>2410</v>
      </c>
      <c r="F195" s="47" t="s">
        <v>2375</v>
      </c>
      <c r="G195" s="46" t="s">
        <v>2411</v>
      </c>
      <c r="H195" s="47" t="s">
        <v>2412</v>
      </c>
      <c r="I195" s="47" t="s">
        <v>2413</v>
      </c>
      <c r="J195" s="47" t="s">
        <v>2414</v>
      </c>
      <c r="K195" s="47" t="s">
        <v>2415</v>
      </c>
      <c r="L195" s="47" t="s">
        <v>2416</v>
      </c>
      <c r="M195" s="48" t="str">
        <f>HYPERLINK("https://law.justia.com/cases/new-jersey/appellate-division-unpublished/2019/a2524-17.html","https://law.justia.com/cases/new-jersey/appellate-division-unpublished/2019/a2524-17.html")</f>
        <v>https://law.justia.com/cases/new-jersey/appellate-division-unpublished/2019/a2524-17.html</v>
      </c>
      <c r="N195" s="47" t="s">
        <v>2417</v>
      </c>
      <c r="O195" s="47" t="s">
        <v>2418</v>
      </c>
      <c r="P195" s="46" t="s">
        <v>2419</v>
      </c>
      <c r="Q195" s="46" t="s">
        <v>20</v>
      </c>
    </row>
    <row r="196" spans="1:17" ht="179.75" customHeight="1" x14ac:dyDescent="0.35">
      <c r="A196" s="46" t="s">
        <v>2420</v>
      </c>
      <c r="B196" s="46" t="s">
        <v>107</v>
      </c>
      <c r="C196" s="47" t="s">
        <v>2421</v>
      </c>
      <c r="D196" s="47" t="s">
        <v>122</v>
      </c>
      <c r="E196" s="46" t="s">
        <v>2422</v>
      </c>
      <c r="F196" s="47" t="s">
        <v>2423</v>
      </c>
      <c r="G196" s="46" t="s">
        <v>2424</v>
      </c>
      <c r="H196" s="47" t="s">
        <v>2425</v>
      </c>
      <c r="I196" s="47" t="s">
        <v>2426</v>
      </c>
      <c r="J196" s="47" t="s">
        <v>2427</v>
      </c>
      <c r="K196" s="47" t="s">
        <v>1853</v>
      </c>
      <c r="L196" s="47" t="s">
        <v>2428</v>
      </c>
      <c r="M196" s="48" t="str">
        <f>HYPERLINK("https://law.justia.com/cases/texas/first-court-of-appeals/2018/01-17-00258-cv.html","https://law.justia.com/cases/texas/first-court-of-appeals/2018/01-17-00258-cv.html")</f>
        <v>https://law.justia.com/cases/texas/first-court-of-appeals/2018/01-17-00258-cv.html</v>
      </c>
      <c r="N196" s="47" t="s">
        <v>2429</v>
      </c>
      <c r="O196" s="47" t="s">
        <v>2430</v>
      </c>
      <c r="P196" s="46" t="s">
        <v>2431</v>
      </c>
      <c r="Q196" s="46" t="s">
        <v>20</v>
      </c>
    </row>
    <row r="197" spans="1:17" ht="179.75" customHeight="1" x14ac:dyDescent="0.35">
      <c r="A197" s="46" t="s">
        <v>2432</v>
      </c>
      <c r="B197" s="46" t="s">
        <v>107</v>
      </c>
      <c r="C197" s="47" t="s">
        <v>2433</v>
      </c>
      <c r="D197" s="47" t="s">
        <v>122</v>
      </c>
      <c r="E197" s="46" t="s">
        <v>2434</v>
      </c>
      <c r="F197" s="47" t="s">
        <v>2172</v>
      </c>
      <c r="G197" s="46" t="s">
        <v>2435</v>
      </c>
      <c r="H197" s="47" t="s">
        <v>2436</v>
      </c>
      <c r="I197" s="47" t="s">
        <v>2437</v>
      </c>
      <c r="J197" s="47" t="s">
        <v>2438</v>
      </c>
      <c r="K197" s="47" t="s">
        <v>2439</v>
      </c>
      <c r="L197" s="47" t="s">
        <v>2440</v>
      </c>
      <c r="M197" s="48" t="str">
        <f>HYPERLINK("https://caselaw.findlaw.com/court/tx-court-of-appeals/1244117.html","https://caselaw.findlaw.com/court/tx-court-of-appeals/1244117.html")</f>
        <v>https://caselaw.findlaw.com/court/tx-court-of-appeals/1244117.html</v>
      </c>
      <c r="N197" s="47" t="s">
        <v>2441</v>
      </c>
      <c r="O197" s="47" t="s">
        <v>2442</v>
      </c>
      <c r="P197" s="46" t="s">
        <v>2443</v>
      </c>
      <c r="Q197" s="46" t="s">
        <v>20</v>
      </c>
    </row>
    <row r="198" spans="1:17" ht="179.75" customHeight="1" x14ac:dyDescent="0.35">
      <c r="A198" s="46" t="s">
        <v>2444</v>
      </c>
      <c r="B198" s="46" t="s">
        <v>107</v>
      </c>
      <c r="C198" s="47" t="s">
        <v>2445</v>
      </c>
      <c r="D198" s="47" t="s">
        <v>122</v>
      </c>
      <c r="E198" s="46" t="s">
        <v>2446</v>
      </c>
      <c r="F198" s="47" t="s">
        <v>110</v>
      </c>
      <c r="G198" s="46" t="s">
        <v>2447</v>
      </c>
      <c r="H198" s="47" t="s">
        <v>2448</v>
      </c>
      <c r="I198" s="47" t="s">
        <v>2449</v>
      </c>
      <c r="J198" s="47" t="s">
        <v>2450</v>
      </c>
      <c r="K198" s="47" t="s">
        <v>2451</v>
      </c>
      <c r="L198" s="47" t="s">
        <v>2452</v>
      </c>
      <c r="M198" s="48" t="str">
        <f>HYPERLINK("https://law.justia.com/cases/texas/supreme-court/2004/2000417.html","https://law.justia.com/cases/texas/supreme-court/2004/2000417.html")</f>
        <v>https://law.justia.com/cases/texas/supreme-court/2004/2000417.html</v>
      </c>
      <c r="N198" s="47" t="s">
        <v>2453</v>
      </c>
      <c r="O198" s="47" t="s">
        <v>2454</v>
      </c>
      <c r="P198" s="46" t="s">
        <v>2455</v>
      </c>
      <c r="Q198" s="46" t="s">
        <v>20</v>
      </c>
    </row>
    <row r="199" spans="1:17" ht="179.75" customHeight="1" x14ac:dyDescent="0.35">
      <c r="A199" s="46" t="s">
        <v>2456</v>
      </c>
      <c r="B199" s="46" t="s">
        <v>107</v>
      </c>
      <c r="C199" s="49" t="s">
        <v>2457</v>
      </c>
      <c r="D199" s="49" t="s">
        <v>122</v>
      </c>
      <c r="E199" s="46" t="s">
        <v>2458</v>
      </c>
      <c r="F199" s="49" t="s">
        <v>2459</v>
      </c>
      <c r="G199" s="46" t="s">
        <v>2460</v>
      </c>
      <c r="H199" s="49" t="s">
        <v>2461</v>
      </c>
      <c r="I199" s="49" t="s">
        <v>2462</v>
      </c>
      <c r="J199" s="49" t="s">
        <v>2463</v>
      </c>
      <c r="K199" s="49" t="s">
        <v>1853</v>
      </c>
      <c r="L199" s="49" t="s">
        <v>2464</v>
      </c>
      <c r="M199" s="48" t="str">
        <f>HYPERLINK("https://law.justia.com/cases/texas/fourteenth-court-of-appeals/2025/14-23-00964-cv.html","https://law.justia.com/cases/texas/fourteenth-court-of-appeals/2025/14-23-00964-cv.html")</f>
        <v>https://law.justia.com/cases/texas/fourteenth-court-of-appeals/2025/14-23-00964-cv.html</v>
      </c>
      <c r="N199" s="49" t="s">
        <v>2465</v>
      </c>
      <c r="O199" s="49" t="s">
        <v>2466</v>
      </c>
      <c r="P199" s="46" t="s">
        <v>2467</v>
      </c>
      <c r="Q199" s="49" t="s">
        <v>20</v>
      </c>
    </row>
    <row r="200" spans="1:17" ht="179.75" customHeight="1" x14ac:dyDescent="0.35">
      <c r="A200" s="46" t="s">
        <v>2468</v>
      </c>
      <c r="B200" s="46" t="s">
        <v>107</v>
      </c>
      <c r="C200" s="49" t="s">
        <v>2469</v>
      </c>
      <c r="D200" s="49" t="s">
        <v>122</v>
      </c>
      <c r="E200" s="46" t="s">
        <v>2470</v>
      </c>
      <c r="F200" s="49" t="s">
        <v>2471</v>
      </c>
      <c r="G200" s="46" t="s">
        <v>2472</v>
      </c>
      <c r="H200" s="49" t="s">
        <v>2473</v>
      </c>
      <c r="I200" s="49" t="s">
        <v>2474</v>
      </c>
      <c r="J200" s="49" t="s">
        <v>2475</v>
      </c>
      <c r="K200" s="49" t="s">
        <v>1853</v>
      </c>
      <c r="L200" s="49" t="s">
        <v>2476</v>
      </c>
      <c r="M200" s="48" t="str">
        <f>HYPERLINK("https://law.justia.com/cases/texas/third-court-of-appeals/2018/03-18-00264-cv.html","https://law.justia.com/cases/texas/third-court-of-appeals/2018/03-18-00264-cv.html")</f>
        <v>https://law.justia.com/cases/texas/third-court-of-appeals/2018/03-18-00264-cv.html</v>
      </c>
      <c r="N200" s="49" t="s">
        <v>2477</v>
      </c>
      <c r="O200" s="49" t="s">
        <v>2478</v>
      </c>
      <c r="P200" s="46" t="s">
        <v>2479</v>
      </c>
      <c r="Q200" s="49" t="s">
        <v>20</v>
      </c>
    </row>
    <row r="201" spans="1:17" ht="179.75" customHeight="1" x14ac:dyDescent="0.35">
      <c r="A201" s="46" t="s">
        <v>2480</v>
      </c>
      <c r="B201" s="46" t="s">
        <v>107</v>
      </c>
      <c r="C201" s="49" t="s">
        <v>2481</v>
      </c>
      <c r="D201" s="49" t="s">
        <v>122</v>
      </c>
      <c r="E201" s="46" t="s">
        <v>2482</v>
      </c>
      <c r="F201" s="49" t="s">
        <v>2483</v>
      </c>
      <c r="G201" s="46" t="s">
        <v>2484</v>
      </c>
      <c r="H201" s="49" t="s">
        <v>2485</v>
      </c>
      <c r="I201" s="49" t="s">
        <v>1767</v>
      </c>
      <c r="J201" s="49" t="s">
        <v>2486</v>
      </c>
      <c r="K201" s="49" t="s">
        <v>2487</v>
      </c>
      <c r="L201" s="49" t="s">
        <v>2488</v>
      </c>
      <c r="M201" s="48" t="str">
        <f>HYPERLINK("https://law.justia.com/cases/texas/fifth-court-of-appeals/2010/05-08-01366-cv-5.html","https://law.justia.com/cases/texas/fifth-court-of-appeals/2010/05-08-01366-cv-5.html")</f>
        <v>https://law.justia.com/cases/texas/fifth-court-of-appeals/2010/05-08-01366-cv-5.html</v>
      </c>
      <c r="N201" s="49" t="s">
        <v>2489</v>
      </c>
      <c r="O201" s="49" t="s">
        <v>2490</v>
      </c>
      <c r="P201" s="46" t="s">
        <v>2491</v>
      </c>
      <c r="Q201" s="49" t="s">
        <v>20</v>
      </c>
    </row>
    <row r="202" spans="1:17" ht="179.75" customHeight="1" x14ac:dyDescent="0.35">
      <c r="A202" s="46" t="s">
        <v>2492</v>
      </c>
      <c r="B202" s="46" t="s">
        <v>107</v>
      </c>
      <c r="C202" s="47" t="s">
        <v>2481</v>
      </c>
      <c r="D202" s="47" t="s">
        <v>442</v>
      </c>
      <c r="E202" s="46" t="s">
        <v>2493</v>
      </c>
      <c r="F202" s="47" t="s">
        <v>1442</v>
      </c>
      <c r="G202" s="46" t="s">
        <v>2494</v>
      </c>
      <c r="H202" s="47" t="s">
        <v>2495</v>
      </c>
      <c r="I202" s="47" t="s">
        <v>2496</v>
      </c>
      <c r="J202" s="47" t="s">
        <v>2497</v>
      </c>
      <c r="K202" s="47" t="s">
        <v>2487</v>
      </c>
      <c r="L202" s="47" t="s">
        <v>2498</v>
      </c>
      <c r="M202" s="48" t="str">
        <f>HYPERLINK("https://law.justia.com/cases/federal/district-courts/south-carolina/scdce/2%3A2017cv00657/234227/58/","https://law.justia.com/cases/federal/district-courts/south-carolina/scdce/2%3A2017cv00657/234227/58/")</f>
        <v>https://law.justia.com/cases/federal/district-courts/south-carolina/scdce/2%3A2017cv00657/234227/58/</v>
      </c>
      <c r="N202" s="47" t="s">
        <v>2489</v>
      </c>
      <c r="O202" s="47" t="s">
        <v>2490</v>
      </c>
      <c r="P202" s="46" t="s">
        <v>2499</v>
      </c>
      <c r="Q202" s="46" t="s">
        <v>20</v>
      </c>
    </row>
    <row r="203" spans="1:17" ht="179.75" customHeight="1" x14ac:dyDescent="0.35">
      <c r="A203" s="46" t="s">
        <v>2500</v>
      </c>
      <c r="B203" s="46" t="s">
        <v>107</v>
      </c>
      <c r="C203" s="47" t="s">
        <v>2481</v>
      </c>
      <c r="D203" s="47" t="s">
        <v>122</v>
      </c>
      <c r="E203" s="46" t="s">
        <v>2501</v>
      </c>
      <c r="F203" s="47" t="s">
        <v>1917</v>
      </c>
      <c r="G203" s="46" t="s">
        <v>2502</v>
      </c>
      <c r="H203" s="47" t="s">
        <v>2503</v>
      </c>
      <c r="I203" s="47" t="s">
        <v>2504</v>
      </c>
      <c r="J203" s="47" t="s">
        <v>2505</v>
      </c>
      <c r="K203" s="47" t="s">
        <v>2487</v>
      </c>
      <c r="L203" s="47" t="s">
        <v>2506</v>
      </c>
      <c r="M203" s="48" t="str">
        <f>HYPERLINK("https://law.justia.com/cases/texas/second-court-of-appeals/2020/02-19-00347-cv.html","https://law.justia.com/cases/texas/second-court-of-appeals/2020/02-19-00347-cv.html")</f>
        <v>https://law.justia.com/cases/texas/second-court-of-appeals/2020/02-19-00347-cv.html</v>
      </c>
      <c r="N203" s="47" t="s">
        <v>2489</v>
      </c>
      <c r="O203" s="47" t="s">
        <v>2490</v>
      </c>
      <c r="P203" s="46" t="s">
        <v>2507</v>
      </c>
      <c r="Q203" s="46" t="s">
        <v>20</v>
      </c>
    </row>
    <row r="204" spans="1:17" ht="179.75" customHeight="1" x14ac:dyDescent="0.35">
      <c r="A204" s="46" t="s">
        <v>2508</v>
      </c>
      <c r="B204" s="46" t="s">
        <v>107</v>
      </c>
      <c r="C204" s="47" t="s">
        <v>2481</v>
      </c>
      <c r="D204" s="47" t="s">
        <v>122</v>
      </c>
      <c r="E204" s="46" t="s">
        <v>2509</v>
      </c>
      <c r="F204" s="47" t="s">
        <v>1917</v>
      </c>
      <c r="G204" s="46" t="s">
        <v>2510</v>
      </c>
      <c r="H204" s="47" t="s">
        <v>2511</v>
      </c>
      <c r="I204" s="47" t="s">
        <v>1767</v>
      </c>
      <c r="J204" s="47" t="s">
        <v>2512</v>
      </c>
      <c r="K204" s="47" t="s">
        <v>2487</v>
      </c>
      <c r="L204" s="47" t="s">
        <v>2513</v>
      </c>
      <c r="M204" s="48" t="str">
        <f>HYPERLINK("https://law.justia.com/cases/texas/first-court-of-appeals/2025/01-24-00553-cv.html","https://law.justia.com/cases/texas/first-court-of-appeals/2025/01-24-00553-cv.html")</f>
        <v>https://law.justia.com/cases/texas/first-court-of-appeals/2025/01-24-00553-cv.html</v>
      </c>
      <c r="N204" s="47" t="s">
        <v>2489</v>
      </c>
      <c r="O204" s="47" t="s">
        <v>2490</v>
      </c>
      <c r="P204" s="46" t="s">
        <v>2514</v>
      </c>
      <c r="Q204" s="46" t="s">
        <v>20</v>
      </c>
    </row>
    <row r="205" spans="1:17" ht="179.75" customHeight="1" x14ac:dyDescent="0.35">
      <c r="A205" s="46" t="s">
        <v>2515</v>
      </c>
      <c r="B205" s="46" t="s">
        <v>107</v>
      </c>
      <c r="C205" s="47" t="s">
        <v>2481</v>
      </c>
      <c r="D205" s="47" t="s">
        <v>517</v>
      </c>
      <c r="E205" s="46" t="s">
        <v>2516</v>
      </c>
      <c r="F205" s="47" t="s">
        <v>2517</v>
      </c>
      <c r="G205" s="46" t="s">
        <v>2518</v>
      </c>
      <c r="H205" s="47" t="s">
        <v>2519</v>
      </c>
      <c r="I205" s="47" t="s">
        <v>2520</v>
      </c>
      <c r="J205" s="47" t="s">
        <v>2521</v>
      </c>
      <c r="K205" s="47" t="s">
        <v>2487</v>
      </c>
      <c r="L205" s="47" t="s">
        <v>2522</v>
      </c>
      <c r="M205" s="48" t="str">
        <f>HYPERLINK("https://law.justia.com/cases/north-carolina/court-of-appeals/2010/09-1458-3.html","https://law.justia.com/cases/north-carolina/court-of-appeals/2010/09-1458-3.html")</f>
        <v>https://law.justia.com/cases/north-carolina/court-of-appeals/2010/09-1458-3.html</v>
      </c>
      <c r="N205" s="47" t="s">
        <v>2489</v>
      </c>
      <c r="O205" s="47" t="s">
        <v>2490</v>
      </c>
      <c r="P205" s="46" t="s">
        <v>2523</v>
      </c>
      <c r="Q205" s="46" t="s">
        <v>20</v>
      </c>
    </row>
    <row r="206" spans="1:17" ht="179.75" customHeight="1" x14ac:dyDescent="0.35">
      <c r="A206" s="46" t="s">
        <v>2524</v>
      </c>
      <c r="B206" s="46" t="s">
        <v>107</v>
      </c>
      <c r="C206" s="47" t="s">
        <v>2481</v>
      </c>
      <c r="D206" s="47" t="s">
        <v>1337</v>
      </c>
      <c r="E206" s="46" t="s">
        <v>2525</v>
      </c>
      <c r="F206" s="47" t="s">
        <v>110</v>
      </c>
      <c r="G206" s="46" t="s">
        <v>2526</v>
      </c>
      <c r="H206" s="47" t="s">
        <v>2527</v>
      </c>
      <c r="I206" s="47" t="s">
        <v>2528</v>
      </c>
      <c r="J206" s="47" t="s">
        <v>2529</v>
      </c>
      <c r="K206" s="47" t="s">
        <v>2487</v>
      </c>
      <c r="L206" s="47" t="s">
        <v>2530</v>
      </c>
      <c r="M206" s="48" t="str">
        <f>HYPERLINK("https://law.justia.com/cases/new-jersey/supreme-court/2012/a-65-10.html","https://law.justia.com/cases/new-jersey/supreme-court/2012/a-65-10.html")</f>
        <v>https://law.justia.com/cases/new-jersey/supreme-court/2012/a-65-10.html</v>
      </c>
      <c r="N206" s="47" t="s">
        <v>2489</v>
      </c>
      <c r="O206" s="47" t="s">
        <v>2490</v>
      </c>
      <c r="P206" s="46" t="s">
        <v>2531</v>
      </c>
      <c r="Q206" s="46" t="s">
        <v>20</v>
      </c>
    </row>
    <row r="207" spans="1:17" ht="179.75" customHeight="1" x14ac:dyDescent="0.35">
      <c r="A207" s="46" t="s">
        <v>2532</v>
      </c>
      <c r="B207" s="46" t="s">
        <v>107</v>
      </c>
      <c r="C207" s="47" t="s">
        <v>2481</v>
      </c>
      <c r="D207" s="47" t="s">
        <v>122</v>
      </c>
      <c r="E207" s="46" t="s">
        <v>2533</v>
      </c>
      <c r="F207" s="47" t="s">
        <v>110</v>
      </c>
      <c r="G207" s="46" t="s">
        <v>2534</v>
      </c>
      <c r="H207" s="47" t="s">
        <v>2535</v>
      </c>
      <c r="I207" s="47" t="s">
        <v>2528</v>
      </c>
      <c r="J207" s="47" t="s">
        <v>2536</v>
      </c>
      <c r="K207" s="47" t="s">
        <v>2487</v>
      </c>
      <c r="L207" s="47" t="s">
        <v>2537</v>
      </c>
      <c r="M207" s="48" t="str">
        <f>HYPERLINK("https://law.justia.com/cases/texas/fourteenth-court-of-appeals/2024/14-23-00249-cv.html","https://law.justia.com/cases/texas/fourteenth-court-of-appeals/2024/14-23-00249-cv.html")</f>
        <v>https://law.justia.com/cases/texas/fourteenth-court-of-appeals/2024/14-23-00249-cv.html</v>
      </c>
      <c r="N207" s="47" t="s">
        <v>2489</v>
      </c>
      <c r="O207" s="47" t="s">
        <v>2490</v>
      </c>
      <c r="P207" s="46" t="s">
        <v>2538</v>
      </c>
      <c r="Q207" s="46" t="s">
        <v>20</v>
      </c>
    </row>
    <row r="208" spans="1:17" ht="179.75" customHeight="1" x14ac:dyDescent="0.35">
      <c r="A208" s="46" t="s">
        <v>2539</v>
      </c>
      <c r="B208" s="46" t="s">
        <v>107</v>
      </c>
      <c r="C208" s="49" t="s">
        <v>2481</v>
      </c>
      <c r="D208" s="49" t="s">
        <v>122</v>
      </c>
      <c r="E208" s="46" t="s">
        <v>2540</v>
      </c>
      <c r="F208" s="49" t="s">
        <v>2541</v>
      </c>
      <c r="G208" s="46" t="s">
        <v>2542</v>
      </c>
      <c r="H208" s="49" t="s">
        <v>2543</v>
      </c>
      <c r="I208" s="49" t="s">
        <v>2528</v>
      </c>
      <c r="J208" s="49" t="s">
        <v>2544</v>
      </c>
      <c r="K208" s="49" t="s">
        <v>2487</v>
      </c>
      <c r="L208" s="49" t="s">
        <v>2545</v>
      </c>
      <c r="M208" s="48" t="str">
        <f>HYPERLINK("https://law.justia.com/cases/texas/third-court-of-appeals/2026/03-25-00339-cv.html","https://law.justia.com/cases/texas/third-court-of-appeals/2026/03-25-00339-cv.html")</f>
        <v>https://law.justia.com/cases/texas/third-court-of-appeals/2026/03-25-00339-cv.html</v>
      </c>
      <c r="N208" s="49" t="s">
        <v>2489</v>
      </c>
      <c r="O208" s="49" t="s">
        <v>2490</v>
      </c>
      <c r="P208" s="46" t="s">
        <v>2546</v>
      </c>
      <c r="Q208" s="49" t="s">
        <v>20</v>
      </c>
    </row>
    <row r="209" spans="1:17" ht="179.75" customHeight="1" x14ac:dyDescent="0.35">
      <c r="A209" s="46" t="s">
        <v>2547</v>
      </c>
      <c r="B209" s="46" t="s">
        <v>107</v>
      </c>
      <c r="C209" s="49" t="s">
        <v>2481</v>
      </c>
      <c r="D209" s="49" t="s">
        <v>122</v>
      </c>
      <c r="E209" s="46" t="s">
        <v>2548</v>
      </c>
      <c r="F209" s="49" t="s">
        <v>2549</v>
      </c>
      <c r="G209" s="46" t="s">
        <v>2550</v>
      </c>
      <c r="H209" s="49" t="s">
        <v>2551</v>
      </c>
      <c r="I209" s="49" t="s">
        <v>2552</v>
      </c>
      <c r="J209" s="49" t="s">
        <v>2553</v>
      </c>
      <c r="K209" s="49" t="s">
        <v>2487</v>
      </c>
      <c r="L209" s="49" t="s">
        <v>2554</v>
      </c>
      <c r="M209" s="48" t="str">
        <f>HYPERLINK("https://law.justia.com/cases/texas/fourteenth-court-of-appeals/2026/14-25-00512-cv.html","https://law.justia.com/cases/texas/fourteenth-court-of-appeals/2026/14-25-00512-cv.html")</f>
        <v>https://law.justia.com/cases/texas/fourteenth-court-of-appeals/2026/14-25-00512-cv.html</v>
      </c>
      <c r="N209" s="49" t="s">
        <v>2489</v>
      </c>
      <c r="O209" s="49" t="s">
        <v>2490</v>
      </c>
      <c r="P209" s="46" t="s">
        <v>2555</v>
      </c>
      <c r="Q209" s="49" t="s">
        <v>20</v>
      </c>
    </row>
    <row r="210" spans="1:17" ht="179.75" customHeight="1" x14ac:dyDescent="0.35">
      <c r="A210" s="46" t="s">
        <v>2556</v>
      </c>
      <c r="B210" s="46" t="s">
        <v>107</v>
      </c>
      <c r="C210" s="49" t="s">
        <v>2481</v>
      </c>
      <c r="D210" s="49" t="s">
        <v>122</v>
      </c>
      <c r="E210" s="46" t="s">
        <v>2557</v>
      </c>
      <c r="F210" s="49" t="s">
        <v>2558</v>
      </c>
      <c r="G210" s="46" t="s">
        <v>2559</v>
      </c>
      <c r="H210" s="49" t="s">
        <v>2560</v>
      </c>
      <c r="I210" s="49" t="s">
        <v>2561</v>
      </c>
      <c r="J210" s="49" t="s">
        <v>2562</v>
      </c>
      <c r="K210" s="49" t="s">
        <v>2487</v>
      </c>
      <c r="L210" s="49" t="s">
        <v>2563</v>
      </c>
      <c r="M210" s="48" t="str">
        <f>HYPERLINK("https://law.justia.com/cases/texas/first-court-of-appeals/2017/01-15-00791-cv.html","https://law.justia.com/cases/texas/first-court-of-appeals/2017/01-15-00791-cv.html")</f>
        <v>https://law.justia.com/cases/texas/first-court-of-appeals/2017/01-15-00791-cv.html</v>
      </c>
      <c r="N210" s="49" t="s">
        <v>2489</v>
      </c>
      <c r="O210" s="49" t="s">
        <v>2490</v>
      </c>
      <c r="P210" s="46" t="s">
        <v>2564</v>
      </c>
      <c r="Q210" s="49" t="s">
        <v>20</v>
      </c>
    </row>
    <row r="211" spans="1:17" ht="179.75" customHeight="1" x14ac:dyDescent="0.35">
      <c r="A211" s="46" t="s">
        <v>2565</v>
      </c>
      <c r="B211" s="46" t="s">
        <v>107</v>
      </c>
      <c r="C211" s="47" t="s">
        <v>2481</v>
      </c>
      <c r="D211" s="47" t="s">
        <v>122</v>
      </c>
      <c r="E211" s="46" t="s">
        <v>2566</v>
      </c>
      <c r="F211" s="47" t="s">
        <v>2567</v>
      </c>
      <c r="G211" s="46" t="s">
        <v>2568</v>
      </c>
      <c r="H211" s="47" t="s">
        <v>2569</v>
      </c>
      <c r="I211" s="47" t="s">
        <v>2528</v>
      </c>
      <c r="J211" s="47" t="s">
        <v>2570</v>
      </c>
      <c r="K211" s="47" t="s">
        <v>2487</v>
      </c>
      <c r="L211" s="47" t="s">
        <v>2571</v>
      </c>
      <c r="M211" s="48" t="str">
        <f>HYPERLINK("https://law.justia.com/cases/texas/fifth-court-of-appeals/2021/05-19-00123-cv.html","https://law.justia.com/cases/texas/fifth-court-of-appeals/2021/05-19-00123-cv.html")</f>
        <v>https://law.justia.com/cases/texas/fifth-court-of-appeals/2021/05-19-00123-cv.html</v>
      </c>
      <c r="N211" s="47" t="s">
        <v>2489</v>
      </c>
      <c r="O211" s="47" t="s">
        <v>2490</v>
      </c>
      <c r="P211" s="46" t="s">
        <v>2572</v>
      </c>
      <c r="Q211" s="46" t="s">
        <v>20</v>
      </c>
    </row>
    <row r="212" spans="1:17" ht="179.75" customHeight="1" x14ac:dyDescent="0.35">
      <c r="A212" s="46" t="s">
        <v>2573</v>
      </c>
      <c r="B212" s="46" t="s">
        <v>107</v>
      </c>
      <c r="C212" s="47" t="s">
        <v>2481</v>
      </c>
      <c r="D212" s="47" t="s">
        <v>122</v>
      </c>
      <c r="E212" s="46" t="s">
        <v>2574</v>
      </c>
      <c r="F212" s="47" t="s">
        <v>110</v>
      </c>
      <c r="G212" s="46" t="s">
        <v>2575</v>
      </c>
      <c r="H212" s="47" t="s">
        <v>2576</v>
      </c>
      <c r="I212" s="47" t="s">
        <v>2528</v>
      </c>
      <c r="J212" s="47" t="s">
        <v>2577</v>
      </c>
      <c r="K212" s="47" t="s">
        <v>2487</v>
      </c>
      <c r="L212" s="47" t="s">
        <v>2578</v>
      </c>
      <c r="M212" s="48" t="str">
        <f>HYPERLINK("https://law.justia.com/cases/texas/sixth-court-of-appeals/2019/06-18-00093-cv.html","https://law.justia.com/cases/texas/sixth-court-of-appeals/2019/06-18-00093-cv.html")</f>
        <v>https://law.justia.com/cases/texas/sixth-court-of-appeals/2019/06-18-00093-cv.html</v>
      </c>
      <c r="N212" s="47" t="s">
        <v>2489</v>
      </c>
      <c r="O212" s="47" t="s">
        <v>2490</v>
      </c>
      <c r="P212" s="46" t="s">
        <v>2579</v>
      </c>
      <c r="Q212" s="46" t="s">
        <v>20</v>
      </c>
    </row>
    <row r="213" spans="1:17" ht="179.75" customHeight="1" x14ac:dyDescent="0.35">
      <c r="A213" s="46" t="s">
        <v>2580</v>
      </c>
      <c r="B213" s="46" t="s">
        <v>107</v>
      </c>
      <c r="C213" s="47" t="s">
        <v>2481</v>
      </c>
      <c r="D213" s="47" t="s">
        <v>122</v>
      </c>
      <c r="E213" s="46" t="s">
        <v>2581</v>
      </c>
      <c r="F213" s="47" t="s">
        <v>1873</v>
      </c>
      <c r="G213" s="46" t="s">
        <v>2582</v>
      </c>
      <c r="H213" s="47" t="s">
        <v>2583</v>
      </c>
      <c r="I213" s="47" t="s">
        <v>2584</v>
      </c>
      <c r="J213" s="47" t="s">
        <v>2585</v>
      </c>
      <c r="K213" s="47" t="s">
        <v>2487</v>
      </c>
      <c r="L213" s="47" t="s">
        <v>2586</v>
      </c>
      <c r="M213" s="48" t="str">
        <f>HYPERLINK("https://law.justia.com/cases/texas/thirteenth-court-of-appeals/2020/13-19-00108-cv.html","https://law.justia.com/cases/texas/thirteenth-court-of-appeals/2020/13-19-00108-cv.html")</f>
        <v>https://law.justia.com/cases/texas/thirteenth-court-of-appeals/2020/13-19-00108-cv.html</v>
      </c>
      <c r="N213" s="47" t="s">
        <v>2489</v>
      </c>
      <c r="O213" s="47" t="s">
        <v>2490</v>
      </c>
      <c r="P213" s="46" t="s">
        <v>2587</v>
      </c>
      <c r="Q213" s="46" t="s">
        <v>20</v>
      </c>
    </row>
    <row r="214" spans="1:17" ht="179.75" customHeight="1" x14ac:dyDescent="0.35">
      <c r="A214" s="46" t="s">
        <v>2588</v>
      </c>
      <c r="B214" s="46" t="s">
        <v>107</v>
      </c>
      <c r="C214" s="47" t="s">
        <v>2481</v>
      </c>
      <c r="D214" s="47" t="s">
        <v>122</v>
      </c>
      <c r="E214" s="46" t="s">
        <v>2589</v>
      </c>
      <c r="F214" s="47" t="s">
        <v>2549</v>
      </c>
      <c r="G214" s="46" t="s">
        <v>2590</v>
      </c>
      <c r="H214" s="47" t="s">
        <v>2591</v>
      </c>
      <c r="I214" s="47" t="s">
        <v>2528</v>
      </c>
      <c r="J214" s="47" t="s">
        <v>2592</v>
      </c>
      <c r="K214" s="47" t="s">
        <v>2487</v>
      </c>
      <c r="L214" s="47" t="s">
        <v>2593</v>
      </c>
      <c r="M214" s="48" t="str">
        <f>HYPERLINK("https://law.justia.com/cases/texas/fourth-court-of-appeals/2019/04-18-00523-cv-0.html","https://law.justia.com/cases/texas/fourth-court-of-appeals/2019/04-18-00523-cv-0.html")</f>
        <v>https://law.justia.com/cases/texas/fourth-court-of-appeals/2019/04-18-00523-cv-0.html</v>
      </c>
      <c r="N214" s="47" t="s">
        <v>2489</v>
      </c>
      <c r="O214" s="47" t="s">
        <v>2490</v>
      </c>
      <c r="P214" s="46" t="s">
        <v>2594</v>
      </c>
      <c r="Q214" s="46" t="s">
        <v>20</v>
      </c>
    </row>
    <row r="215" spans="1:17" ht="179.75" customHeight="1" x14ac:dyDescent="0.35">
      <c r="A215" s="46" t="s">
        <v>2595</v>
      </c>
      <c r="B215" s="46" t="s">
        <v>107</v>
      </c>
      <c r="C215" s="47" t="s">
        <v>2481</v>
      </c>
      <c r="D215" s="47" t="s">
        <v>1560</v>
      </c>
      <c r="E215" s="46" t="s">
        <v>2596</v>
      </c>
      <c r="F215" s="47" t="s">
        <v>2597</v>
      </c>
      <c r="G215" s="46" t="s">
        <v>2598</v>
      </c>
      <c r="H215" s="47" t="s">
        <v>2599</v>
      </c>
      <c r="I215" s="47" t="s">
        <v>2600</v>
      </c>
      <c r="J215" s="47" t="s">
        <v>2601</v>
      </c>
      <c r="K215" s="47" t="s">
        <v>2487</v>
      </c>
      <c r="L215" s="47" t="s">
        <v>2602</v>
      </c>
      <c r="M215" s="48" t="str">
        <f>HYPERLINK("https://law.justia.com/cases/washington/court-of-appeals-division-i/2026/88437-9.html","https://law.justia.com/cases/washington/court-of-appeals-division-i/2026/88437-9.html")</f>
        <v>https://law.justia.com/cases/washington/court-of-appeals-division-i/2026/88437-9.html</v>
      </c>
      <c r="N215" s="47" t="s">
        <v>2489</v>
      </c>
      <c r="O215" s="47" t="s">
        <v>2490</v>
      </c>
      <c r="P215" s="46" t="s">
        <v>2603</v>
      </c>
      <c r="Q215" s="46" t="s">
        <v>20</v>
      </c>
    </row>
    <row r="216" spans="1:17" ht="179.75" customHeight="1" x14ac:dyDescent="0.35">
      <c r="A216" s="46" t="s">
        <v>2604</v>
      </c>
      <c r="B216" s="46" t="s">
        <v>107</v>
      </c>
      <c r="C216" s="47" t="s">
        <v>2481</v>
      </c>
      <c r="D216" s="47" t="s">
        <v>1560</v>
      </c>
      <c r="E216" s="46" t="s">
        <v>2605</v>
      </c>
      <c r="F216" s="47" t="s">
        <v>1917</v>
      </c>
      <c r="G216" s="46" t="s">
        <v>2606</v>
      </c>
      <c r="H216" s="47" t="s">
        <v>2607</v>
      </c>
      <c r="I216" s="47" t="s">
        <v>2608</v>
      </c>
      <c r="J216" s="47" t="s">
        <v>2609</v>
      </c>
      <c r="K216" s="47" t="s">
        <v>2487</v>
      </c>
      <c r="L216" s="47" t="s">
        <v>2610</v>
      </c>
      <c r="M216" s="48" t="str">
        <f>HYPERLINK("https://law.justia.com/cases/washington/court-of-appeals-division-ii/2025/58973-7.html","https://law.justia.com/cases/washington/court-of-appeals-division-ii/2025/58973-7.html")</f>
        <v>https://law.justia.com/cases/washington/court-of-appeals-division-ii/2025/58973-7.html</v>
      </c>
      <c r="N216" s="47" t="s">
        <v>2489</v>
      </c>
      <c r="O216" s="47" t="s">
        <v>2490</v>
      </c>
      <c r="P216" s="46" t="s">
        <v>2611</v>
      </c>
      <c r="Q216" s="46" t="s">
        <v>20</v>
      </c>
    </row>
    <row r="217" spans="1:17" ht="179.75" customHeight="1" x14ac:dyDescent="0.35">
      <c r="A217" s="46" t="s">
        <v>2612</v>
      </c>
      <c r="B217" s="46" t="s">
        <v>107</v>
      </c>
      <c r="C217" s="47" t="s">
        <v>2481</v>
      </c>
      <c r="D217" s="47" t="s">
        <v>1560</v>
      </c>
      <c r="E217" s="46" t="s">
        <v>2613</v>
      </c>
      <c r="F217" s="47" t="s">
        <v>2614</v>
      </c>
      <c r="G217" s="46" t="s">
        <v>2615</v>
      </c>
      <c r="H217" s="47" t="s">
        <v>2616</v>
      </c>
      <c r="I217" s="47" t="s">
        <v>2528</v>
      </c>
      <c r="J217" s="47" t="s">
        <v>2617</v>
      </c>
      <c r="K217" s="47" t="s">
        <v>2487</v>
      </c>
      <c r="L217" s="47" t="s">
        <v>2618</v>
      </c>
      <c r="M217" s="48" t="str">
        <f>HYPERLINK("https://law.justia.com/cases/washington/court-of-appeals-division-i/2023/82407-4.html","https://law.justia.com/cases/washington/court-of-appeals-division-i/2023/82407-4.html")</f>
        <v>https://law.justia.com/cases/washington/court-of-appeals-division-i/2023/82407-4.html</v>
      </c>
      <c r="N217" s="47" t="s">
        <v>2489</v>
      </c>
      <c r="O217" s="47" t="s">
        <v>2490</v>
      </c>
      <c r="P217" s="46" t="s">
        <v>2619</v>
      </c>
      <c r="Q217" s="46" t="s">
        <v>20</v>
      </c>
    </row>
    <row r="218" spans="1:17" ht="179.75" customHeight="1" x14ac:dyDescent="0.35">
      <c r="A218" s="46" t="s">
        <v>2620</v>
      </c>
      <c r="B218" s="46" t="s">
        <v>107</v>
      </c>
      <c r="C218" s="49" t="s">
        <v>2481</v>
      </c>
      <c r="D218" s="49" t="s">
        <v>1560</v>
      </c>
      <c r="E218" s="46" t="s">
        <v>2621</v>
      </c>
      <c r="F218" s="49" t="s">
        <v>110</v>
      </c>
      <c r="G218" s="46" t="s">
        <v>2622</v>
      </c>
      <c r="H218" s="49" t="s">
        <v>2623</v>
      </c>
      <c r="I218" s="49" t="s">
        <v>2600</v>
      </c>
      <c r="J218" s="49" t="s">
        <v>2624</v>
      </c>
      <c r="K218" s="49" t="s">
        <v>2487</v>
      </c>
      <c r="L218" s="49" t="s">
        <v>2625</v>
      </c>
      <c r="M218" s="48" t="str">
        <f>HYPERLINK("https://law.justia.com/cases/washington/court-of-appeals-division-i/2018/77389-5.html","https://law.justia.com/cases/washington/court-of-appeals-division-i/2018/77389-5.html")</f>
        <v>https://law.justia.com/cases/washington/court-of-appeals-division-i/2018/77389-5.html</v>
      </c>
      <c r="N218" s="49" t="s">
        <v>2489</v>
      </c>
      <c r="O218" s="49" t="s">
        <v>2490</v>
      </c>
      <c r="P218" s="46" t="s">
        <v>2626</v>
      </c>
      <c r="Q218" s="49" t="s">
        <v>20</v>
      </c>
    </row>
    <row r="219" spans="1:17" ht="179.75" customHeight="1" x14ac:dyDescent="0.35">
      <c r="A219" s="46" t="s">
        <v>2627</v>
      </c>
      <c r="B219" s="46" t="s">
        <v>107</v>
      </c>
      <c r="C219" s="49" t="s">
        <v>2481</v>
      </c>
      <c r="D219" s="49" t="s">
        <v>2628</v>
      </c>
      <c r="E219" s="46" t="s">
        <v>2629</v>
      </c>
      <c r="F219" s="49" t="s">
        <v>1873</v>
      </c>
      <c r="G219" s="46" t="s">
        <v>2630</v>
      </c>
      <c r="H219" s="49" t="s">
        <v>2631</v>
      </c>
      <c r="I219" s="49" t="s">
        <v>2528</v>
      </c>
      <c r="J219" s="49" t="s">
        <v>2632</v>
      </c>
      <c r="K219" s="49" t="s">
        <v>2487</v>
      </c>
      <c r="L219" s="49" t="s">
        <v>2633</v>
      </c>
      <c r="M219" s="48" t="str">
        <f>HYPERLINK("https://law.justia.com/cases/federal/appellate-courts/ca9/16-35384/16-35384-2018-07-10.html","https://law.justia.com/cases/federal/appellate-courts/ca9/16-35384/16-35384-2018-07-10.html")</f>
        <v>https://law.justia.com/cases/federal/appellate-courts/ca9/16-35384/16-35384-2018-07-10.html</v>
      </c>
      <c r="N219" s="49" t="s">
        <v>2489</v>
      </c>
      <c r="O219" s="49" t="s">
        <v>2490</v>
      </c>
      <c r="P219" s="46" t="s">
        <v>2634</v>
      </c>
      <c r="Q219" s="49" t="s">
        <v>20</v>
      </c>
    </row>
    <row r="220" spans="1:17" ht="179.75" customHeight="1" x14ac:dyDescent="0.35">
      <c r="A220" s="46" t="s">
        <v>2635</v>
      </c>
      <c r="B220" s="46" t="s">
        <v>107</v>
      </c>
      <c r="C220" s="49" t="s">
        <v>2481</v>
      </c>
      <c r="D220" s="49" t="s">
        <v>183</v>
      </c>
      <c r="E220" s="46" t="s">
        <v>2636</v>
      </c>
      <c r="F220" s="49" t="s">
        <v>1873</v>
      </c>
      <c r="G220" s="46" t="s">
        <v>2637</v>
      </c>
      <c r="H220" s="49" t="s">
        <v>2638</v>
      </c>
      <c r="I220" s="49" t="s">
        <v>2528</v>
      </c>
      <c r="J220" s="49" t="s">
        <v>2639</v>
      </c>
      <c r="K220" s="49" t="s">
        <v>2487</v>
      </c>
      <c r="L220" s="49" t="s">
        <v>2640</v>
      </c>
      <c r="M220" s="48" t="str">
        <f>HYPERLINK("https://law.justia.com/cases/ohio/second-district-court-of-appeals/2006/2006-ohio-1970.html","https://law.justia.com/cases/ohio/second-district-court-of-appeals/2006/2006-ohio-1970.html")</f>
        <v>https://law.justia.com/cases/ohio/second-district-court-of-appeals/2006/2006-ohio-1970.html</v>
      </c>
      <c r="N220" s="49" t="s">
        <v>2489</v>
      </c>
      <c r="O220" s="49" t="s">
        <v>2490</v>
      </c>
      <c r="P220" s="46" t="s">
        <v>2641</v>
      </c>
      <c r="Q220" s="49" t="s">
        <v>20</v>
      </c>
    </row>
    <row r="221" spans="1:17" ht="179.75" customHeight="1" x14ac:dyDescent="0.35">
      <c r="A221" s="46" t="s">
        <v>2642</v>
      </c>
      <c r="B221" s="46" t="s">
        <v>107</v>
      </c>
      <c r="C221" s="47" t="s">
        <v>2481</v>
      </c>
      <c r="D221" s="47" t="s">
        <v>183</v>
      </c>
      <c r="E221" s="46" t="s">
        <v>2643</v>
      </c>
      <c r="F221" s="47" t="s">
        <v>1873</v>
      </c>
      <c r="G221" s="46" t="s">
        <v>2644</v>
      </c>
      <c r="H221" s="47" t="s">
        <v>2645</v>
      </c>
      <c r="I221" s="47" t="s">
        <v>2646</v>
      </c>
      <c r="J221" s="47" t="s">
        <v>2647</v>
      </c>
      <c r="K221" s="47" t="s">
        <v>2487</v>
      </c>
      <c r="L221" s="47" t="s">
        <v>2648</v>
      </c>
      <c r="M221" s="48" t="str">
        <f>HYPERLINK("https://law.justia.com/cases/ohio/sixth-district-court-of-appeals/2018/l-16-1128.html","https://law.justia.com/cases/ohio/sixth-district-court-of-appeals/2018/l-16-1128.html")</f>
        <v>https://law.justia.com/cases/ohio/sixth-district-court-of-appeals/2018/l-16-1128.html</v>
      </c>
      <c r="N221" s="47" t="s">
        <v>2489</v>
      </c>
      <c r="O221" s="47" t="s">
        <v>2490</v>
      </c>
      <c r="P221" s="46" t="s">
        <v>2649</v>
      </c>
      <c r="Q221" s="46" t="s">
        <v>20</v>
      </c>
    </row>
    <row r="222" spans="1:17" ht="179.75" customHeight="1" x14ac:dyDescent="0.35">
      <c r="A222" s="46" t="s">
        <v>2650</v>
      </c>
      <c r="B222" s="46" t="s">
        <v>107</v>
      </c>
      <c r="C222" s="47" t="s">
        <v>2481</v>
      </c>
      <c r="D222" s="47" t="s">
        <v>183</v>
      </c>
      <c r="E222" s="46" t="s">
        <v>2651</v>
      </c>
      <c r="F222" s="47" t="s">
        <v>110</v>
      </c>
      <c r="G222" s="46" t="s">
        <v>2652</v>
      </c>
      <c r="H222" s="47" t="s">
        <v>2653</v>
      </c>
      <c r="I222" s="47" t="s">
        <v>2528</v>
      </c>
      <c r="J222" s="47" t="s">
        <v>2654</v>
      </c>
      <c r="K222" s="47" t="s">
        <v>2487</v>
      </c>
      <c r="L222" s="47" t="s">
        <v>2655</v>
      </c>
      <c r="M222" s="48" t="str">
        <f>HYPERLINK("https://law.justia.com/cases/ohio/fifth-district-court-of-appeals/2025/25-cag-05-0035.html","https://law.justia.com/cases/ohio/fifth-district-court-of-appeals/2025/25-cag-05-0035.html")</f>
        <v>https://law.justia.com/cases/ohio/fifth-district-court-of-appeals/2025/25-cag-05-0035.html</v>
      </c>
      <c r="N222" s="47" t="s">
        <v>2489</v>
      </c>
      <c r="O222" s="47" t="s">
        <v>2490</v>
      </c>
      <c r="P222" s="46" t="s">
        <v>2656</v>
      </c>
      <c r="Q222" s="46" t="s">
        <v>20</v>
      </c>
    </row>
    <row r="223" spans="1:17" ht="179.75" customHeight="1" x14ac:dyDescent="0.35">
      <c r="A223" s="46" t="s">
        <v>2657</v>
      </c>
      <c r="B223" s="46" t="s">
        <v>107</v>
      </c>
      <c r="C223" s="47" t="s">
        <v>2481</v>
      </c>
      <c r="D223" s="47" t="s">
        <v>183</v>
      </c>
      <c r="E223" s="46" t="s">
        <v>2658</v>
      </c>
      <c r="F223" s="47" t="s">
        <v>2659</v>
      </c>
      <c r="G223" s="46" t="s">
        <v>2660</v>
      </c>
      <c r="H223" s="47" t="s">
        <v>2661</v>
      </c>
      <c r="I223" s="47" t="s">
        <v>2528</v>
      </c>
      <c r="J223" s="47" t="s">
        <v>2662</v>
      </c>
      <c r="K223" s="47" t="s">
        <v>2487</v>
      </c>
      <c r="L223" s="47" t="s">
        <v>2663</v>
      </c>
      <c r="M223" s="48" t="str">
        <f>HYPERLINK("https://law.justia.com/cases/ohio/eighth-district-court-of-appeals/2019/108027.html","https://law.justia.com/cases/ohio/eighth-district-court-of-appeals/2019/108027.html")</f>
        <v>https://law.justia.com/cases/ohio/eighth-district-court-of-appeals/2019/108027.html</v>
      </c>
      <c r="N223" s="47" t="s">
        <v>2489</v>
      </c>
      <c r="O223" s="47" t="s">
        <v>2490</v>
      </c>
      <c r="P223" s="46" t="s">
        <v>2664</v>
      </c>
      <c r="Q223" s="46" t="s">
        <v>20</v>
      </c>
    </row>
    <row r="224" spans="1:17" ht="179.75" customHeight="1" x14ac:dyDescent="0.35">
      <c r="A224" s="46" t="s">
        <v>2665</v>
      </c>
      <c r="B224" s="46" t="s">
        <v>107</v>
      </c>
      <c r="C224" s="47" t="s">
        <v>2481</v>
      </c>
      <c r="D224" s="47" t="s">
        <v>183</v>
      </c>
      <c r="E224" s="46" t="s">
        <v>2666</v>
      </c>
      <c r="F224" s="47" t="s">
        <v>2659</v>
      </c>
      <c r="G224" s="46" t="s">
        <v>2667</v>
      </c>
      <c r="H224" s="47" t="s">
        <v>2668</v>
      </c>
      <c r="I224" s="47" t="s">
        <v>2669</v>
      </c>
      <c r="J224" s="47" t="s">
        <v>2670</v>
      </c>
      <c r="K224" s="47" t="s">
        <v>2487</v>
      </c>
      <c r="L224" s="47" t="s">
        <v>2671</v>
      </c>
      <c r="M224" s="48" t="str">
        <f>HYPERLINK("https://law.justia.com/cases/ohio/second-district-court-of-appeals/2019/28369.html","https://law.justia.com/cases/ohio/second-district-court-of-appeals/2019/28369.html")</f>
        <v>https://law.justia.com/cases/ohio/second-district-court-of-appeals/2019/28369.html</v>
      </c>
      <c r="N224" s="47" t="s">
        <v>2489</v>
      </c>
      <c r="O224" s="47" t="s">
        <v>2490</v>
      </c>
      <c r="P224" s="46" t="s">
        <v>2672</v>
      </c>
      <c r="Q224" s="46" t="s">
        <v>20</v>
      </c>
    </row>
    <row r="225" spans="1:17" ht="179.75" customHeight="1" x14ac:dyDescent="0.35">
      <c r="A225" s="46" t="s">
        <v>2673</v>
      </c>
      <c r="B225" s="46" t="s">
        <v>107</v>
      </c>
      <c r="C225" s="47" t="s">
        <v>2481</v>
      </c>
      <c r="D225" s="47" t="s">
        <v>1486</v>
      </c>
      <c r="E225" s="46" t="s">
        <v>2674</v>
      </c>
      <c r="F225" s="47" t="s">
        <v>2614</v>
      </c>
      <c r="G225" s="46" t="s">
        <v>2675</v>
      </c>
      <c r="H225" s="47" t="s">
        <v>2676</v>
      </c>
      <c r="I225" s="47" t="s">
        <v>2528</v>
      </c>
      <c r="J225" s="47" t="s">
        <v>2677</v>
      </c>
      <c r="K225" s="47" t="s">
        <v>2487</v>
      </c>
      <c r="L225" s="47" t="s">
        <v>2678</v>
      </c>
      <c r="M225" s="48" t="str">
        <f>HYPERLINK("https://law.justia.com/cases/michigan/court-of-appeals-unpublished/2025/366946.html","https://law.justia.com/cases/michigan/court-of-appeals-unpublished/2025/366946.html")</f>
        <v>https://law.justia.com/cases/michigan/court-of-appeals-unpublished/2025/366946.html</v>
      </c>
      <c r="N225" s="47" t="s">
        <v>2489</v>
      </c>
      <c r="O225" s="47" t="s">
        <v>2490</v>
      </c>
      <c r="P225" s="46" t="s">
        <v>2679</v>
      </c>
      <c r="Q225" s="46" t="s">
        <v>20</v>
      </c>
    </row>
    <row r="226" spans="1:17" ht="179.75" customHeight="1" x14ac:dyDescent="0.35">
      <c r="A226" s="46" t="s">
        <v>2680</v>
      </c>
      <c r="B226" s="46" t="s">
        <v>107</v>
      </c>
      <c r="C226" s="47" t="s">
        <v>2481</v>
      </c>
      <c r="D226" s="47" t="s">
        <v>1486</v>
      </c>
      <c r="E226" s="46" t="s">
        <v>2681</v>
      </c>
      <c r="F226" s="47" t="s">
        <v>2682</v>
      </c>
      <c r="G226" s="46" t="s">
        <v>2683</v>
      </c>
      <c r="H226" s="47" t="s">
        <v>2684</v>
      </c>
      <c r="I226" s="47" t="s">
        <v>2685</v>
      </c>
      <c r="J226" s="47" t="s">
        <v>2686</v>
      </c>
      <c r="K226" s="47" t="s">
        <v>2487</v>
      </c>
      <c r="L226" s="47" t="s">
        <v>2687</v>
      </c>
      <c r="M226" s="48" t="str">
        <f>HYPERLINK("https://law.justia.com/cases/michigan/court-of-appeals-unpublished/2023/362990.html","https://law.justia.com/cases/michigan/court-of-appeals-unpublished/2023/362990.html")</f>
        <v>https://law.justia.com/cases/michigan/court-of-appeals-unpublished/2023/362990.html</v>
      </c>
      <c r="N226" s="47" t="s">
        <v>2489</v>
      </c>
      <c r="O226" s="47" t="s">
        <v>2490</v>
      </c>
      <c r="P226" s="46" t="s">
        <v>2688</v>
      </c>
      <c r="Q226" s="46" t="s">
        <v>20</v>
      </c>
    </row>
    <row r="227" spans="1:17" ht="179.75" customHeight="1" x14ac:dyDescent="0.35">
      <c r="A227" s="46" t="s">
        <v>2689</v>
      </c>
      <c r="B227" s="46" t="s">
        <v>400</v>
      </c>
      <c r="C227" s="47" t="s">
        <v>2690</v>
      </c>
      <c r="D227" s="47" t="s">
        <v>1486</v>
      </c>
      <c r="E227" s="46" t="s">
        <v>2691</v>
      </c>
      <c r="F227" s="47" t="s">
        <v>2692</v>
      </c>
      <c r="G227" s="46" t="s">
        <v>2693</v>
      </c>
      <c r="H227" s="47" t="s">
        <v>2694</v>
      </c>
      <c r="I227" s="47" t="s">
        <v>2528</v>
      </c>
      <c r="J227" s="47" t="s">
        <v>2695</v>
      </c>
      <c r="K227" s="47" t="s">
        <v>2487</v>
      </c>
      <c r="L227" s="47" t="s">
        <v>2696</v>
      </c>
      <c r="M227" s="48" t="str">
        <f>HYPERLINK("https://law.justia.com/cases/michigan/court-of-appeals-published/2023/363746.html","https://law.justia.com/cases/michigan/court-of-appeals-published/2023/363746.html")</f>
        <v>https://law.justia.com/cases/michigan/court-of-appeals-published/2023/363746.html</v>
      </c>
      <c r="N227" s="47" t="s">
        <v>2489</v>
      </c>
      <c r="O227" s="47" t="s">
        <v>2490</v>
      </c>
      <c r="P227" s="46" t="s">
        <v>2697</v>
      </c>
      <c r="Q227" s="46" t="s">
        <v>20</v>
      </c>
    </row>
    <row r="228" spans="1:17" ht="179.75" customHeight="1" x14ac:dyDescent="0.35">
      <c r="A228" s="46" t="s">
        <v>2698</v>
      </c>
      <c r="B228" s="46" t="s">
        <v>107</v>
      </c>
      <c r="C228" s="49" t="s">
        <v>2481</v>
      </c>
      <c r="D228" s="49" t="s">
        <v>1486</v>
      </c>
      <c r="E228" s="46" t="s">
        <v>2699</v>
      </c>
      <c r="F228" s="49" t="s">
        <v>1873</v>
      </c>
      <c r="G228" s="46" t="s">
        <v>2700</v>
      </c>
      <c r="H228" s="49" t="s">
        <v>2701</v>
      </c>
      <c r="I228" s="49" t="s">
        <v>2528</v>
      </c>
      <c r="J228" s="49" t="s">
        <v>2702</v>
      </c>
      <c r="K228" s="49" t="s">
        <v>2487</v>
      </c>
      <c r="L228" s="49" t="s">
        <v>2703</v>
      </c>
      <c r="M228" s="48" t="str">
        <f>HYPERLINK("https://law.justia.com/cases/michigan/court-of-appeals-unpublished/2008/20080207-c272061-106-272061-opn.html","https://law.justia.com/cases/michigan/court-of-appeals-unpublished/2008/20080207-c272061-106-272061-opn.html")</f>
        <v>https://law.justia.com/cases/michigan/court-of-appeals-unpublished/2008/20080207-c272061-106-272061-opn.html</v>
      </c>
      <c r="N228" s="49" t="s">
        <v>2489</v>
      </c>
      <c r="O228" s="49" t="s">
        <v>2490</v>
      </c>
      <c r="P228" s="46" t="s">
        <v>2704</v>
      </c>
      <c r="Q228" s="49" t="s">
        <v>20</v>
      </c>
    </row>
    <row r="229" spans="1:17" ht="179.75" customHeight="1" x14ac:dyDescent="0.35">
      <c r="A229" s="46" t="s">
        <v>2705</v>
      </c>
      <c r="B229" s="46" t="s">
        <v>107</v>
      </c>
      <c r="C229" s="47" t="s">
        <v>2481</v>
      </c>
      <c r="D229" s="47" t="s">
        <v>1486</v>
      </c>
      <c r="E229" s="46" t="s">
        <v>2706</v>
      </c>
      <c r="F229" s="47" t="s">
        <v>1873</v>
      </c>
      <c r="G229" s="46" t="s">
        <v>2707</v>
      </c>
      <c r="H229" s="47" t="s">
        <v>2708</v>
      </c>
      <c r="I229" s="47" t="s">
        <v>2600</v>
      </c>
      <c r="J229" s="47" t="s">
        <v>2709</v>
      </c>
      <c r="K229" s="47" t="s">
        <v>2487</v>
      </c>
      <c r="L229" s="47" t="s">
        <v>2710</v>
      </c>
      <c r="M229" s="48" t="str">
        <f>HYPERLINK("https://law.justia.com/cases/michigan/court-of-appeals-unpublished/2017/329403.html","https://law.justia.com/cases/michigan/court-of-appeals-unpublished/2017/329403.html")</f>
        <v>https://law.justia.com/cases/michigan/court-of-appeals-unpublished/2017/329403.html</v>
      </c>
      <c r="N229" s="47" t="s">
        <v>2489</v>
      </c>
      <c r="O229" s="47" t="s">
        <v>2490</v>
      </c>
      <c r="P229" s="46" t="s">
        <v>2711</v>
      </c>
      <c r="Q229" s="46" t="s">
        <v>20</v>
      </c>
    </row>
    <row r="230" spans="1:17" ht="179.75" customHeight="1" x14ac:dyDescent="0.35">
      <c r="A230" s="46" t="s">
        <v>2712</v>
      </c>
      <c r="B230" s="46" t="s">
        <v>107</v>
      </c>
      <c r="C230" s="47" t="s">
        <v>2481</v>
      </c>
      <c r="D230" s="47" t="s">
        <v>479</v>
      </c>
      <c r="E230" s="46" t="s">
        <v>2713</v>
      </c>
      <c r="F230" s="47" t="s">
        <v>2714</v>
      </c>
      <c r="G230" s="46" t="s">
        <v>2715</v>
      </c>
      <c r="H230" s="47" t="s">
        <v>2716</v>
      </c>
      <c r="I230" s="47" t="s">
        <v>2528</v>
      </c>
      <c r="J230" s="47" t="s">
        <v>2717</v>
      </c>
      <c r="K230" s="47" t="s">
        <v>2487</v>
      </c>
      <c r="L230" s="47" t="s">
        <v>2718</v>
      </c>
      <c r="M230" s="48" t="str">
        <f>HYPERLINK("https://law.justia.com/cases/virginia/court-of-appeals-published/2023/0222-22-4.html","https://law.justia.com/cases/virginia/court-of-appeals-published/2023/0222-22-4.html")</f>
        <v>https://law.justia.com/cases/virginia/court-of-appeals-published/2023/0222-22-4.html</v>
      </c>
      <c r="N230" s="47" t="s">
        <v>2489</v>
      </c>
      <c r="O230" s="47" t="s">
        <v>2490</v>
      </c>
      <c r="P230" s="46" t="s">
        <v>2719</v>
      </c>
      <c r="Q230" s="46" t="s">
        <v>20</v>
      </c>
    </row>
    <row r="231" spans="1:17" ht="179.75" customHeight="1" x14ac:dyDescent="0.35">
      <c r="A231" s="46" t="s">
        <v>2720</v>
      </c>
      <c r="B231" s="46" t="s">
        <v>107</v>
      </c>
      <c r="C231" s="47" t="s">
        <v>2481</v>
      </c>
      <c r="D231" s="47" t="s">
        <v>479</v>
      </c>
      <c r="E231" s="46" t="s">
        <v>2721</v>
      </c>
      <c r="F231" s="47" t="s">
        <v>2597</v>
      </c>
      <c r="G231" s="46" t="s">
        <v>2722</v>
      </c>
      <c r="H231" s="47" t="s">
        <v>2723</v>
      </c>
      <c r="I231" s="47" t="s">
        <v>2724</v>
      </c>
      <c r="J231" s="47" t="s">
        <v>2725</v>
      </c>
      <c r="K231" s="47" t="s">
        <v>2487</v>
      </c>
      <c r="L231" s="47" t="s">
        <v>2726</v>
      </c>
      <c r="M231" s="48" t="str">
        <f>HYPERLINK("https://law.justia.com/cases/virginia/supreme-court/2012/111949.html","https://law.justia.com/cases/virginia/supreme-court/2012/111949.html")</f>
        <v>https://law.justia.com/cases/virginia/supreme-court/2012/111949.html</v>
      </c>
      <c r="N231" s="47" t="s">
        <v>2489</v>
      </c>
      <c r="O231" s="47" t="s">
        <v>2490</v>
      </c>
      <c r="P231" s="46" t="s">
        <v>2727</v>
      </c>
      <c r="Q231" s="46" t="s">
        <v>20</v>
      </c>
    </row>
    <row r="232" spans="1:17" ht="179.75" customHeight="1" x14ac:dyDescent="0.35">
      <c r="A232" s="46" t="s">
        <v>2728</v>
      </c>
      <c r="B232" s="46" t="s">
        <v>107</v>
      </c>
      <c r="C232" s="47" t="s">
        <v>2481</v>
      </c>
      <c r="D232" s="47" t="s">
        <v>479</v>
      </c>
      <c r="E232" s="46" t="s">
        <v>2729</v>
      </c>
      <c r="F232" s="47" t="s">
        <v>2730</v>
      </c>
      <c r="G232" s="46" t="s">
        <v>2731</v>
      </c>
      <c r="H232" s="47" t="s">
        <v>2732</v>
      </c>
      <c r="I232" s="47" t="s">
        <v>2528</v>
      </c>
      <c r="J232" s="47" t="s">
        <v>2733</v>
      </c>
      <c r="K232" s="47" t="s">
        <v>2487</v>
      </c>
      <c r="L232" s="47" t="s">
        <v>2734</v>
      </c>
      <c r="M232" s="48" t="str">
        <f>HYPERLINK("https://law.justia.com/cases/virginia/supreme-court/2011/101085.html","https://law.justia.com/cases/virginia/supreme-court/2011/101085.html")</f>
        <v>https://law.justia.com/cases/virginia/supreme-court/2011/101085.html</v>
      </c>
      <c r="N232" s="47" t="s">
        <v>2489</v>
      </c>
      <c r="O232" s="47" t="s">
        <v>2490</v>
      </c>
      <c r="P232" s="46" t="s">
        <v>2735</v>
      </c>
      <c r="Q232" s="46" t="s">
        <v>20</v>
      </c>
    </row>
    <row r="233" spans="1:17" ht="179.75" customHeight="1" x14ac:dyDescent="0.35">
      <c r="A233" s="46" t="s">
        <v>2736</v>
      </c>
      <c r="B233" s="46" t="s">
        <v>107</v>
      </c>
      <c r="C233" s="47" t="s">
        <v>2481</v>
      </c>
      <c r="D233" s="47" t="s">
        <v>296</v>
      </c>
      <c r="E233" s="46" t="s">
        <v>2737</v>
      </c>
      <c r="F233" s="47" t="s">
        <v>2738</v>
      </c>
      <c r="G233" s="46" t="s">
        <v>2739</v>
      </c>
      <c r="H233" s="47" t="s">
        <v>2740</v>
      </c>
      <c r="I233" s="47" t="s">
        <v>2741</v>
      </c>
      <c r="J233" s="47" t="s">
        <v>2742</v>
      </c>
      <c r="K233" s="47" t="s">
        <v>2487</v>
      </c>
      <c r="L233" s="47" t="s">
        <v>2743</v>
      </c>
      <c r="M233" s="48" t="str">
        <f>HYPERLINK("https://law.justia.com/cases/illinois/court-of-appeals-first-appellate-district/2018/1-17-0436.html","https://law.justia.com/cases/illinois/court-of-appeals-first-appellate-district/2018/1-17-0436.html")</f>
        <v>https://law.justia.com/cases/illinois/court-of-appeals-first-appellate-district/2018/1-17-0436.html</v>
      </c>
      <c r="N233" s="47" t="s">
        <v>2489</v>
      </c>
      <c r="O233" s="47" t="s">
        <v>2490</v>
      </c>
      <c r="P233" s="46" t="s">
        <v>2744</v>
      </c>
      <c r="Q233" s="46" t="s">
        <v>20</v>
      </c>
    </row>
    <row r="234" spans="1:17" ht="179.75" customHeight="1" x14ac:dyDescent="0.35">
      <c r="A234" s="46" t="s">
        <v>2745</v>
      </c>
      <c r="B234" s="46" t="s">
        <v>107</v>
      </c>
      <c r="C234" s="49" t="s">
        <v>2481</v>
      </c>
      <c r="D234" s="49" t="s">
        <v>296</v>
      </c>
      <c r="E234" s="46" t="s">
        <v>2746</v>
      </c>
      <c r="F234" s="49" t="s">
        <v>1873</v>
      </c>
      <c r="G234" s="46" t="s">
        <v>2747</v>
      </c>
      <c r="H234" s="49" t="s">
        <v>2748</v>
      </c>
      <c r="I234" s="49" t="s">
        <v>2528</v>
      </c>
      <c r="J234" s="49" t="s">
        <v>2749</v>
      </c>
      <c r="K234" s="49" t="s">
        <v>2487</v>
      </c>
      <c r="L234" s="49" t="s">
        <v>2750</v>
      </c>
      <c r="M234" s="48" t="str">
        <f>HYPERLINK("https://law.justia.com/cases/illinois/court-of-appeals-second-appellate-district/2012/2-11-0473.html","https://law.justia.com/cases/illinois/court-of-appeals-second-appellate-district/2012/2-11-0473.html")</f>
        <v>https://law.justia.com/cases/illinois/court-of-appeals-second-appellate-district/2012/2-11-0473.html</v>
      </c>
      <c r="N234" s="49" t="s">
        <v>2489</v>
      </c>
      <c r="O234" s="49" t="s">
        <v>2490</v>
      </c>
      <c r="P234" s="46" t="s">
        <v>2751</v>
      </c>
      <c r="Q234" s="49" t="s">
        <v>20</v>
      </c>
    </row>
    <row r="235" spans="1:17" ht="179.75" customHeight="1" x14ac:dyDescent="0.35">
      <c r="A235" s="46" t="s">
        <v>2752</v>
      </c>
      <c r="B235" s="46" t="s">
        <v>107</v>
      </c>
      <c r="C235" s="49" t="s">
        <v>2481</v>
      </c>
      <c r="D235" s="49" t="s">
        <v>2397</v>
      </c>
      <c r="E235" s="46" t="s">
        <v>2753</v>
      </c>
      <c r="F235" s="49" t="s">
        <v>2597</v>
      </c>
      <c r="G235" s="46" t="s">
        <v>2754</v>
      </c>
      <c r="H235" s="49" t="s">
        <v>2755</v>
      </c>
      <c r="I235" s="49" t="s">
        <v>2528</v>
      </c>
      <c r="J235" s="49" t="s">
        <v>2756</v>
      </c>
      <c r="K235" s="49" t="s">
        <v>2487</v>
      </c>
      <c r="L235" s="49" t="s">
        <v>2757</v>
      </c>
      <c r="M235" s="48" t="str">
        <f>HYPERLINK("https://law.justia.com/cases/nebraska/supreme-court/2012/s-11-970.html","https://law.justia.com/cases/nebraska/supreme-court/2012/s-11-970.html")</f>
        <v>https://law.justia.com/cases/nebraska/supreme-court/2012/s-11-970.html</v>
      </c>
      <c r="N235" s="49" t="s">
        <v>2489</v>
      </c>
      <c r="O235" s="49" t="s">
        <v>2490</v>
      </c>
      <c r="P235" s="46" t="s">
        <v>2758</v>
      </c>
      <c r="Q235" s="49" t="s">
        <v>20</v>
      </c>
    </row>
    <row r="236" spans="1:17" ht="179.75" customHeight="1" x14ac:dyDescent="0.35">
      <c r="A236" s="46" t="s">
        <v>2759</v>
      </c>
      <c r="B236" s="46" t="s">
        <v>107</v>
      </c>
      <c r="C236" s="49" t="s">
        <v>2481</v>
      </c>
      <c r="D236" s="49" t="s">
        <v>719</v>
      </c>
      <c r="E236" s="46" t="s">
        <v>2760</v>
      </c>
      <c r="F236" s="49" t="s">
        <v>1873</v>
      </c>
      <c r="G236" s="46" t="s">
        <v>2761</v>
      </c>
      <c r="H236" s="49" t="s">
        <v>2762</v>
      </c>
      <c r="I236" s="49" t="s">
        <v>2528</v>
      </c>
      <c r="J236" s="49" t="s">
        <v>2763</v>
      </c>
      <c r="K236" s="49" t="s">
        <v>2487</v>
      </c>
      <c r="L236" s="49" t="s">
        <v>2764</v>
      </c>
      <c r="M236" s="48" t="str">
        <f>HYPERLINK("https://law.justia.com/cases/delaware/superior-court/2026/n24c-02-008-kmm.html","https://law.justia.com/cases/delaware/superior-court/2026/n24c-02-008-kmm.html")</f>
        <v>https://law.justia.com/cases/delaware/superior-court/2026/n24c-02-008-kmm.html</v>
      </c>
      <c r="N236" s="49" t="s">
        <v>2489</v>
      </c>
      <c r="O236" s="49" t="s">
        <v>2490</v>
      </c>
      <c r="P236" s="46" t="s">
        <v>2765</v>
      </c>
      <c r="Q236" s="49" t="s">
        <v>20</v>
      </c>
    </row>
    <row r="237" spans="1:17" ht="179.75" customHeight="1" x14ac:dyDescent="0.35">
      <c r="A237" s="46" t="s">
        <v>2766</v>
      </c>
      <c r="B237" s="46" t="s">
        <v>107</v>
      </c>
      <c r="C237" s="47" t="s">
        <v>2481</v>
      </c>
      <c r="D237" s="47" t="s">
        <v>719</v>
      </c>
      <c r="E237" s="46" t="s">
        <v>2767</v>
      </c>
      <c r="F237" s="47" t="s">
        <v>2768</v>
      </c>
      <c r="G237" s="46" t="s">
        <v>2769</v>
      </c>
      <c r="H237" s="47" t="s">
        <v>2770</v>
      </c>
      <c r="I237" s="47" t="s">
        <v>2528</v>
      </c>
      <c r="J237" s="47" t="s">
        <v>2771</v>
      </c>
      <c r="K237" s="47" t="s">
        <v>2487</v>
      </c>
      <c r="L237" s="47" t="s">
        <v>2772</v>
      </c>
      <c r="M237" s="48" t="str">
        <f>HYPERLINK("https://law.justia.com/cases/delaware/court-of-chancery/2010/134310-1.html","https://law.justia.com/cases/delaware/court-of-chancery/2010/134310-1.html")</f>
        <v>https://law.justia.com/cases/delaware/court-of-chancery/2010/134310-1.html</v>
      </c>
      <c r="N237" s="47" t="s">
        <v>2489</v>
      </c>
      <c r="O237" s="47" t="s">
        <v>2490</v>
      </c>
      <c r="P237" s="46" t="s">
        <v>2773</v>
      </c>
      <c r="Q237" s="46" t="s">
        <v>20</v>
      </c>
    </row>
    <row r="238" spans="1:17" ht="179.75" customHeight="1" x14ac:dyDescent="0.35">
      <c r="A238" s="46" t="s">
        <v>2774</v>
      </c>
      <c r="B238" s="46" t="s">
        <v>400</v>
      </c>
      <c r="C238" s="47" t="s">
        <v>2775</v>
      </c>
      <c r="D238" s="47" t="s">
        <v>719</v>
      </c>
      <c r="E238" s="46" t="s">
        <v>2776</v>
      </c>
      <c r="F238" s="47" t="s">
        <v>2777</v>
      </c>
      <c r="G238" s="46" t="s">
        <v>2778</v>
      </c>
      <c r="H238" s="47" t="s">
        <v>2779</v>
      </c>
      <c r="I238" s="47" t="s">
        <v>2528</v>
      </c>
      <c r="J238" s="47" t="s">
        <v>2780</v>
      </c>
      <c r="K238" s="47" t="s">
        <v>2487</v>
      </c>
      <c r="L238" s="47" t="s">
        <v>2781</v>
      </c>
      <c r="M238" s="48" t="str">
        <f>HYPERLINK("https://law.justia.com/cases/delaware/court-of-chancery/2018/2017-0217-pwg.html","https://law.justia.com/cases/delaware/court-of-chancery/2018/2017-0217-pwg.html")</f>
        <v>https://law.justia.com/cases/delaware/court-of-chancery/2018/2017-0217-pwg.html</v>
      </c>
      <c r="N238" s="47" t="s">
        <v>2489</v>
      </c>
      <c r="O238" s="47" t="s">
        <v>2490</v>
      </c>
      <c r="P238" s="46" t="s">
        <v>2782</v>
      </c>
      <c r="Q238" s="46" t="s">
        <v>20</v>
      </c>
    </row>
    <row r="239" spans="1:17" ht="179.75" customHeight="1" x14ac:dyDescent="0.35">
      <c r="A239" s="46" t="s">
        <v>2783</v>
      </c>
      <c r="B239" s="46" t="s">
        <v>107</v>
      </c>
      <c r="C239" s="47" t="s">
        <v>2481</v>
      </c>
      <c r="D239" s="47" t="s">
        <v>282</v>
      </c>
      <c r="E239" s="46" t="s">
        <v>2784</v>
      </c>
      <c r="F239" s="47" t="s">
        <v>2785</v>
      </c>
      <c r="G239" s="46" t="s">
        <v>2786</v>
      </c>
      <c r="H239" s="47" t="s">
        <v>2787</v>
      </c>
      <c r="I239" s="47" t="s">
        <v>2788</v>
      </c>
      <c r="J239" s="47" t="s">
        <v>2789</v>
      </c>
      <c r="K239" s="47" t="s">
        <v>2487</v>
      </c>
      <c r="L239" s="47" t="s">
        <v>2790</v>
      </c>
      <c r="M239" s="48" t="str">
        <f>HYPERLINK("https://law.justia.com/cases/maryland/court-of-appeals/2022/6m-21.html","https://law.justia.com/cases/maryland/court-of-appeals/2022/6m-21.html")</f>
        <v>https://law.justia.com/cases/maryland/court-of-appeals/2022/6m-21.html</v>
      </c>
      <c r="N239" s="47" t="s">
        <v>2489</v>
      </c>
      <c r="O239" s="47" t="s">
        <v>2490</v>
      </c>
      <c r="P239" s="46" t="s">
        <v>2791</v>
      </c>
      <c r="Q239" s="46" t="s">
        <v>20</v>
      </c>
    </row>
    <row r="240" spans="1:17" ht="179.75" customHeight="1" x14ac:dyDescent="0.35">
      <c r="A240" s="46" t="s">
        <v>2792</v>
      </c>
      <c r="B240" s="46" t="s">
        <v>107</v>
      </c>
      <c r="C240" s="49" t="s">
        <v>2481</v>
      </c>
      <c r="D240" s="49" t="s">
        <v>282</v>
      </c>
      <c r="E240" s="46" t="s">
        <v>2614</v>
      </c>
      <c r="F240" s="49" t="s">
        <v>2793</v>
      </c>
      <c r="G240" s="46" t="s">
        <v>2794</v>
      </c>
      <c r="H240" s="49" t="s">
        <v>2795</v>
      </c>
      <c r="I240" s="49" t="s">
        <v>2796</v>
      </c>
      <c r="J240" s="49" t="s">
        <v>2797</v>
      </c>
      <c r="K240" s="49" t="s">
        <v>2487</v>
      </c>
      <c r="L240" s="49" t="s">
        <v>2798</v>
      </c>
      <c r="M240" s="48" t="str">
        <f>HYPERLINK("https://law.justia.com/cases/maryland/court-of-appeals/2021/8m-20.html","https://law.justia.com/cases/maryland/court-of-appeals/2021/8m-20.html")</f>
        <v>https://law.justia.com/cases/maryland/court-of-appeals/2021/8m-20.html</v>
      </c>
      <c r="N240" s="49" t="s">
        <v>2489</v>
      </c>
      <c r="O240" s="49" t="s">
        <v>2490</v>
      </c>
      <c r="P240" s="46" t="s">
        <v>2799</v>
      </c>
      <c r="Q240" s="49" t="s">
        <v>20</v>
      </c>
    </row>
    <row r="241" spans="1:17" ht="179.75" customHeight="1" x14ac:dyDescent="0.35">
      <c r="A241" s="46" t="s">
        <v>2800</v>
      </c>
      <c r="B241" s="46" t="s">
        <v>107</v>
      </c>
      <c r="C241" s="49" t="s">
        <v>2481</v>
      </c>
      <c r="D241" s="49" t="s">
        <v>504</v>
      </c>
      <c r="E241" s="46" t="s">
        <v>2801</v>
      </c>
      <c r="F241" s="49" t="s">
        <v>110</v>
      </c>
      <c r="G241" s="46" t="s">
        <v>2802</v>
      </c>
      <c r="H241" s="49" t="s">
        <v>2803</v>
      </c>
      <c r="I241" s="49" t="s">
        <v>2804</v>
      </c>
      <c r="J241" s="49" t="s">
        <v>2805</v>
      </c>
      <c r="K241" s="49" t="s">
        <v>2487</v>
      </c>
      <c r="L241" s="49" t="s">
        <v>2806</v>
      </c>
      <c r="M241" s="48" t="str">
        <f>HYPERLINK("https://law.justia.com/cases/tennessee/court-of-appeals/2019/w2018-01760-coa-r3-cv.html","https://law.justia.com/cases/tennessee/court-of-appeals/2019/w2018-01760-coa-r3-cv.html")</f>
        <v>https://law.justia.com/cases/tennessee/court-of-appeals/2019/w2018-01760-coa-r3-cv.html</v>
      </c>
      <c r="N241" s="49" t="s">
        <v>2489</v>
      </c>
      <c r="O241" s="49" t="s">
        <v>2490</v>
      </c>
      <c r="P241" s="46" t="s">
        <v>2807</v>
      </c>
      <c r="Q241" s="49" t="s">
        <v>20</v>
      </c>
    </row>
    <row r="242" spans="1:17" ht="179.75" customHeight="1" x14ac:dyDescent="0.35">
      <c r="A242" s="46" t="s">
        <v>2808</v>
      </c>
      <c r="B242" s="46" t="s">
        <v>107</v>
      </c>
      <c r="C242" s="49" t="s">
        <v>2481</v>
      </c>
      <c r="D242" s="49" t="s">
        <v>504</v>
      </c>
      <c r="E242" s="46" t="s">
        <v>2809</v>
      </c>
      <c r="F242" s="49" t="s">
        <v>2810</v>
      </c>
      <c r="G242" s="46" t="s">
        <v>2811</v>
      </c>
      <c r="H242" s="49" t="s">
        <v>2812</v>
      </c>
      <c r="I242" s="49" t="s">
        <v>2528</v>
      </c>
      <c r="J242" s="49" t="s">
        <v>2813</v>
      </c>
      <c r="K242" s="49" t="s">
        <v>2487</v>
      </c>
      <c r="L242" s="49" t="s">
        <v>2814</v>
      </c>
      <c r="M242" s="48" t="str">
        <f>HYPERLINK("https://law.justia.com/cases/tennessee/court-of-appeals/2023/m2020-01565-coa-r3-cv.html","https://law.justia.com/cases/tennessee/court-of-appeals/2023/m2020-01565-coa-r3-cv.html")</f>
        <v>https://law.justia.com/cases/tennessee/court-of-appeals/2023/m2020-01565-coa-r3-cv.html</v>
      </c>
      <c r="N242" s="49" t="s">
        <v>2489</v>
      </c>
      <c r="O242" s="49" t="s">
        <v>2490</v>
      </c>
      <c r="P242" s="46" t="s">
        <v>2815</v>
      </c>
      <c r="Q242" s="49" t="s">
        <v>20</v>
      </c>
    </row>
    <row r="243" spans="1:17" ht="179.75" customHeight="1" x14ac:dyDescent="0.35">
      <c r="A243" s="46" t="s">
        <v>2816</v>
      </c>
      <c r="B243" s="46" t="s">
        <v>107</v>
      </c>
      <c r="C243" s="49" t="s">
        <v>2481</v>
      </c>
      <c r="D243" s="49" t="s">
        <v>504</v>
      </c>
      <c r="E243" s="46" t="s">
        <v>2817</v>
      </c>
      <c r="F243" s="49" t="s">
        <v>110</v>
      </c>
      <c r="G243" s="46" t="s">
        <v>2818</v>
      </c>
      <c r="H243" s="49" t="s">
        <v>2819</v>
      </c>
      <c r="I243" s="49" t="s">
        <v>2820</v>
      </c>
      <c r="J243" s="49" t="s">
        <v>2821</v>
      </c>
      <c r="K243" s="49" t="s">
        <v>2487</v>
      </c>
      <c r="L243" s="49" t="s">
        <v>2822</v>
      </c>
      <c r="M243" s="48" t="str">
        <f>HYPERLINK("https://law.justia.com/cases/tennessee/court-of-appeals/2013/m2012-02713-coa-r3-cv.html","https://law.justia.com/cases/tennessee/court-of-appeals/2013/m2012-02713-coa-r3-cv.html")</f>
        <v>https://law.justia.com/cases/tennessee/court-of-appeals/2013/m2012-02713-coa-r3-cv.html</v>
      </c>
      <c r="N243" s="49" t="s">
        <v>2489</v>
      </c>
      <c r="O243" s="49" t="s">
        <v>2490</v>
      </c>
      <c r="P243" s="46" t="s">
        <v>2823</v>
      </c>
      <c r="Q243" s="49" t="s">
        <v>20</v>
      </c>
    </row>
    <row r="244" spans="1:17" ht="179.75" customHeight="1" x14ac:dyDescent="0.35">
      <c r="A244" s="46" t="s">
        <v>2824</v>
      </c>
      <c r="B244" s="46" t="s">
        <v>107</v>
      </c>
      <c r="C244" s="49" t="s">
        <v>2481</v>
      </c>
      <c r="D244" s="49" t="s">
        <v>504</v>
      </c>
      <c r="E244" s="46" t="s">
        <v>2825</v>
      </c>
      <c r="F244" s="49" t="s">
        <v>110</v>
      </c>
      <c r="G244" s="46" t="s">
        <v>2826</v>
      </c>
      <c r="H244" s="49" t="s">
        <v>2827</v>
      </c>
      <c r="I244" s="49" t="s">
        <v>2528</v>
      </c>
      <c r="J244" s="49" t="s">
        <v>2828</v>
      </c>
      <c r="K244" s="49" t="s">
        <v>2487</v>
      </c>
      <c r="L244" s="49" t="s">
        <v>2829</v>
      </c>
      <c r="M244" s="48" t="str">
        <f>HYPERLINK("https://law.justia.com/cases/tennessee/court-of-appeals/2014/m2013-02346-coa-r3-cv-0.html","https://law.justia.com/cases/tennessee/court-of-appeals/2014/m2013-02346-coa-r3-cv-0.html")</f>
        <v>https://law.justia.com/cases/tennessee/court-of-appeals/2014/m2013-02346-coa-r3-cv-0.html</v>
      </c>
      <c r="N244" s="49" t="s">
        <v>2489</v>
      </c>
      <c r="O244" s="49" t="s">
        <v>2490</v>
      </c>
      <c r="P244" s="46" t="s">
        <v>2830</v>
      </c>
      <c r="Q244" s="49" t="s">
        <v>20</v>
      </c>
    </row>
    <row r="245" spans="1:17" ht="179.75" customHeight="1" x14ac:dyDescent="0.35">
      <c r="A245" s="46" t="s">
        <v>2831</v>
      </c>
      <c r="B245" s="46" t="s">
        <v>107</v>
      </c>
      <c r="C245" s="49" t="s">
        <v>2481</v>
      </c>
      <c r="D245" s="49" t="s">
        <v>109</v>
      </c>
      <c r="E245" s="46" t="s">
        <v>2832</v>
      </c>
      <c r="F245" s="49" t="s">
        <v>1917</v>
      </c>
      <c r="G245" s="46" t="s">
        <v>2833</v>
      </c>
      <c r="H245" s="49" t="s">
        <v>2834</v>
      </c>
      <c r="I245" s="49" t="s">
        <v>2835</v>
      </c>
      <c r="J245" s="49" t="s">
        <v>2836</v>
      </c>
      <c r="K245" s="49" t="s">
        <v>2487</v>
      </c>
      <c r="L245" s="49" t="s">
        <v>2837</v>
      </c>
      <c r="M245" s="48" t="str">
        <f>HYPERLINK("https://law.justia.com/cases/arizona/court-of-appeals-division-one-published/2020/1-ca-cv-18-0276.html","https://law.justia.com/cases/arizona/court-of-appeals-division-one-published/2020/1-ca-cv-18-0276.html")</f>
        <v>https://law.justia.com/cases/arizona/court-of-appeals-division-one-published/2020/1-ca-cv-18-0276.html</v>
      </c>
      <c r="N245" s="49" t="s">
        <v>2489</v>
      </c>
      <c r="O245" s="49" t="s">
        <v>2490</v>
      </c>
      <c r="P245" s="46" t="s">
        <v>2838</v>
      </c>
      <c r="Q245" s="49" t="s">
        <v>20</v>
      </c>
    </row>
    <row r="246" spans="1:17" ht="179.75" customHeight="1" x14ac:dyDescent="0.35">
      <c r="A246" s="46" t="s">
        <v>2839</v>
      </c>
      <c r="B246" s="46" t="s">
        <v>107</v>
      </c>
      <c r="C246" s="47" t="s">
        <v>2481</v>
      </c>
      <c r="D246" s="47" t="s">
        <v>109</v>
      </c>
      <c r="E246" s="46" t="s">
        <v>2840</v>
      </c>
      <c r="F246" s="47" t="s">
        <v>110</v>
      </c>
      <c r="G246" s="46" t="s">
        <v>2841</v>
      </c>
      <c r="H246" s="47" t="s">
        <v>2842</v>
      </c>
      <c r="I246" s="47" t="s">
        <v>2528</v>
      </c>
      <c r="J246" s="47" t="s">
        <v>2843</v>
      </c>
      <c r="K246" s="47" t="s">
        <v>2487</v>
      </c>
      <c r="L246" s="47" t="s">
        <v>2844</v>
      </c>
      <c r="M246" s="48" t="str">
        <f>HYPERLINK("https://law.justia.com/cases/arizona/court-of-appeals-division-two-unpublished/2024/2-ca-cv-2023-0071.html","https://law.justia.com/cases/arizona/court-of-appeals-division-two-unpublished/2024/2-ca-cv-2023-0071.html")</f>
        <v>https://law.justia.com/cases/arizona/court-of-appeals-division-two-unpublished/2024/2-ca-cv-2023-0071.html</v>
      </c>
      <c r="N246" s="47" t="s">
        <v>2489</v>
      </c>
      <c r="O246" s="47" t="s">
        <v>2490</v>
      </c>
      <c r="P246" s="46" t="s">
        <v>2845</v>
      </c>
      <c r="Q246" s="46" t="s">
        <v>20</v>
      </c>
    </row>
    <row r="247" spans="1:17" ht="179.75" customHeight="1" x14ac:dyDescent="0.35">
      <c r="A247" s="46" t="s">
        <v>2846</v>
      </c>
      <c r="B247" s="46" t="s">
        <v>107</v>
      </c>
      <c r="C247" s="47" t="s">
        <v>2481</v>
      </c>
      <c r="D247" s="47" t="s">
        <v>109</v>
      </c>
      <c r="E247" s="46" t="s">
        <v>2847</v>
      </c>
      <c r="F247" s="47" t="s">
        <v>110</v>
      </c>
      <c r="G247" s="46" t="s">
        <v>2848</v>
      </c>
      <c r="H247" s="47" t="s">
        <v>2849</v>
      </c>
      <c r="I247" s="47" t="s">
        <v>2528</v>
      </c>
      <c r="J247" s="47" t="s">
        <v>2850</v>
      </c>
      <c r="K247" s="47" t="s">
        <v>2487</v>
      </c>
      <c r="L247" s="47" t="s">
        <v>2851</v>
      </c>
      <c r="M247" s="48" t="str">
        <f>HYPERLINK("https://law.justia.com/cases/arizona/court-of-appeals-division-one-unpublished/2012/1-ca-cv-10-0463.html","https://law.justia.com/cases/arizona/court-of-appeals-division-one-unpublished/2012/1-ca-cv-10-0463.html")</f>
        <v>https://law.justia.com/cases/arizona/court-of-appeals-division-one-unpublished/2012/1-ca-cv-10-0463.html</v>
      </c>
      <c r="N247" s="47" t="s">
        <v>2489</v>
      </c>
      <c r="O247" s="47" t="s">
        <v>2490</v>
      </c>
      <c r="P247" s="46" t="s">
        <v>2852</v>
      </c>
      <c r="Q247" s="46" t="s">
        <v>20</v>
      </c>
    </row>
    <row r="248" spans="1:17" ht="179.75" customHeight="1" x14ac:dyDescent="0.35">
      <c r="A248" s="46" t="s">
        <v>2853</v>
      </c>
      <c r="B248" s="46" t="s">
        <v>107</v>
      </c>
      <c r="C248" s="47" t="s">
        <v>2481</v>
      </c>
      <c r="D248" s="47" t="s">
        <v>109</v>
      </c>
      <c r="E248" s="46" t="s">
        <v>2854</v>
      </c>
      <c r="F248" s="47" t="s">
        <v>2855</v>
      </c>
      <c r="G248" s="46" t="s">
        <v>2856</v>
      </c>
      <c r="H248" s="47" t="s">
        <v>2857</v>
      </c>
      <c r="I248" s="47" t="s">
        <v>2528</v>
      </c>
      <c r="J248" s="47" t="s">
        <v>2858</v>
      </c>
      <c r="K248" s="47" t="s">
        <v>2487</v>
      </c>
      <c r="L248" s="47" t="s">
        <v>2859</v>
      </c>
      <c r="M248" s="48" t="str">
        <f>HYPERLINK("https://law.justia.com/cases/arizona/court-of-appeals-division-one-unpublished/2025/1-ca-cv-25-0384.html","https://law.justia.com/cases/arizona/court-of-appeals-division-one-unpublished/2025/1-ca-cv-25-0384.html")</f>
        <v>https://law.justia.com/cases/arizona/court-of-appeals-division-one-unpublished/2025/1-ca-cv-25-0384.html</v>
      </c>
      <c r="N248" s="47" t="s">
        <v>2489</v>
      </c>
      <c r="O248" s="47" t="s">
        <v>2490</v>
      </c>
      <c r="P248" s="46" t="s">
        <v>2860</v>
      </c>
      <c r="Q248" s="46" t="s">
        <v>20</v>
      </c>
    </row>
    <row r="249" spans="1:17" ht="179.75" customHeight="1" x14ac:dyDescent="0.35">
      <c r="A249" s="46" t="s">
        <v>2861</v>
      </c>
      <c r="B249" s="46" t="s">
        <v>107</v>
      </c>
      <c r="C249" s="49" t="s">
        <v>2481</v>
      </c>
      <c r="D249" s="49" t="s">
        <v>756</v>
      </c>
      <c r="E249" s="46" t="s">
        <v>2862</v>
      </c>
      <c r="F249" s="49" t="s">
        <v>2863</v>
      </c>
      <c r="G249" s="46" t="s">
        <v>2864</v>
      </c>
      <c r="H249" s="49" t="s">
        <v>2865</v>
      </c>
      <c r="I249" s="49" t="s">
        <v>2528</v>
      </c>
      <c r="J249" s="49" t="s">
        <v>2866</v>
      </c>
      <c r="K249" s="49" t="s">
        <v>2487</v>
      </c>
      <c r="L249" s="49" t="s">
        <v>2867</v>
      </c>
      <c r="M249" s="48" t="str">
        <f>HYPERLINK("https://law.justia.com/cases/pennsylvania/superior-court/2024/1327-wda-2022.html","https://law.justia.com/cases/pennsylvania/superior-court/2024/1327-wda-2022.html")</f>
        <v>https://law.justia.com/cases/pennsylvania/superior-court/2024/1327-wda-2022.html</v>
      </c>
      <c r="N249" s="49" t="s">
        <v>2489</v>
      </c>
      <c r="O249" s="49" t="s">
        <v>2490</v>
      </c>
      <c r="P249" s="46" t="s">
        <v>2868</v>
      </c>
      <c r="Q249" s="49" t="s">
        <v>20</v>
      </c>
    </row>
    <row r="250" spans="1:17" ht="179.75" customHeight="1" x14ac:dyDescent="0.35">
      <c r="A250" s="46" t="s">
        <v>2869</v>
      </c>
      <c r="B250" s="46" t="s">
        <v>107</v>
      </c>
      <c r="C250" s="47" t="s">
        <v>2481</v>
      </c>
      <c r="D250" s="47" t="s">
        <v>756</v>
      </c>
      <c r="E250" s="46" t="s">
        <v>2870</v>
      </c>
      <c r="F250" s="47" t="s">
        <v>2871</v>
      </c>
      <c r="G250" s="46" t="s">
        <v>2872</v>
      </c>
      <c r="H250" s="47" t="s">
        <v>2873</v>
      </c>
      <c r="I250" s="47" t="s">
        <v>2874</v>
      </c>
      <c r="J250" s="47" t="s">
        <v>2875</v>
      </c>
      <c r="K250" s="47" t="s">
        <v>2487</v>
      </c>
      <c r="L250" s="47" t="s">
        <v>2876</v>
      </c>
      <c r="M250" s="48" t="str">
        <f>HYPERLINK("https://law.justia.com/cases/pennsylvania/superior-court/2025/1387-eda-2024.html","https://law.justia.com/cases/pennsylvania/superior-court/2025/1387-eda-2024.html")</f>
        <v>https://law.justia.com/cases/pennsylvania/superior-court/2025/1387-eda-2024.html</v>
      </c>
      <c r="N250" s="47" t="s">
        <v>2489</v>
      </c>
      <c r="O250" s="47" t="s">
        <v>2490</v>
      </c>
      <c r="P250" s="46" t="s">
        <v>2877</v>
      </c>
      <c r="Q250" s="46" t="s">
        <v>20</v>
      </c>
    </row>
    <row r="251" spans="1:17" ht="179.75" customHeight="1" x14ac:dyDescent="0.35">
      <c r="A251" s="46" t="s">
        <v>2878</v>
      </c>
      <c r="B251" s="46" t="s">
        <v>107</v>
      </c>
      <c r="C251" s="47" t="s">
        <v>2481</v>
      </c>
      <c r="D251" s="47" t="s">
        <v>756</v>
      </c>
      <c r="E251" s="46" t="s">
        <v>2879</v>
      </c>
      <c r="F251" s="47" t="s">
        <v>1548</v>
      </c>
      <c r="G251" s="46" t="s">
        <v>2880</v>
      </c>
      <c r="H251" s="47" t="s">
        <v>2881</v>
      </c>
      <c r="I251" s="47" t="s">
        <v>2882</v>
      </c>
      <c r="J251" s="47" t="s">
        <v>2883</v>
      </c>
      <c r="K251" s="47" t="s">
        <v>2487</v>
      </c>
      <c r="L251" s="47" t="s">
        <v>2884</v>
      </c>
      <c r="M251" s="48" t="str">
        <f>HYPERLINK("https://law.justia.com/cases/pennsylvania/commonwealth-court/2015/361-c-d-2015.html","https://law.justia.com/cases/pennsylvania/commonwealth-court/2015/361-c-d-2015.html")</f>
        <v>https://law.justia.com/cases/pennsylvania/commonwealth-court/2015/361-c-d-2015.html</v>
      </c>
      <c r="N251" s="47" t="s">
        <v>2489</v>
      </c>
      <c r="O251" s="47" t="s">
        <v>2490</v>
      </c>
      <c r="P251" s="46" t="s">
        <v>2885</v>
      </c>
      <c r="Q251" s="46" t="s">
        <v>20</v>
      </c>
    </row>
    <row r="252" spans="1:17" ht="179.75" customHeight="1" x14ac:dyDescent="0.35">
      <c r="A252" s="46" t="s">
        <v>2886</v>
      </c>
      <c r="B252" s="46" t="s">
        <v>107</v>
      </c>
      <c r="C252" s="47" t="s">
        <v>2481</v>
      </c>
      <c r="D252" s="47" t="s">
        <v>756</v>
      </c>
      <c r="E252" s="46" t="s">
        <v>2887</v>
      </c>
      <c r="F252" s="47" t="s">
        <v>2888</v>
      </c>
      <c r="G252" s="46" t="s">
        <v>2889</v>
      </c>
      <c r="H252" s="47" t="s">
        <v>2890</v>
      </c>
      <c r="I252" s="47" t="s">
        <v>2528</v>
      </c>
      <c r="J252" s="47" t="s">
        <v>2891</v>
      </c>
      <c r="K252" s="47" t="s">
        <v>2487</v>
      </c>
      <c r="L252" s="47" t="s">
        <v>2892</v>
      </c>
      <c r="M252" s="48" t="str">
        <f>HYPERLINK("https://law.justia.com/cases/pennsylvania/commonwealth-court/2023/507-c-d-2021.html","https://law.justia.com/cases/pennsylvania/commonwealth-court/2023/507-c-d-2021.html")</f>
        <v>https://law.justia.com/cases/pennsylvania/commonwealth-court/2023/507-c-d-2021.html</v>
      </c>
      <c r="N252" s="47" t="s">
        <v>2489</v>
      </c>
      <c r="O252" s="47" t="s">
        <v>2490</v>
      </c>
      <c r="P252" s="46" t="s">
        <v>2893</v>
      </c>
      <c r="Q252" s="46" t="s">
        <v>20</v>
      </c>
    </row>
    <row r="253" spans="1:17" ht="179.75" customHeight="1" x14ac:dyDescent="0.35">
      <c r="A253" s="46" t="s">
        <v>2894</v>
      </c>
      <c r="B253" s="46" t="s">
        <v>107</v>
      </c>
      <c r="C253" s="47" t="s">
        <v>2481</v>
      </c>
      <c r="D253" s="47" t="s">
        <v>517</v>
      </c>
      <c r="E253" s="46" t="s">
        <v>2895</v>
      </c>
      <c r="F253" s="47" t="s">
        <v>2659</v>
      </c>
      <c r="G253" s="46" t="s">
        <v>2896</v>
      </c>
      <c r="H253" s="47" t="s">
        <v>2897</v>
      </c>
      <c r="I253" s="47" t="s">
        <v>2898</v>
      </c>
      <c r="J253" s="47" t="s">
        <v>2899</v>
      </c>
      <c r="K253" s="47" t="s">
        <v>2487</v>
      </c>
      <c r="L253" s="47" t="s">
        <v>2900</v>
      </c>
      <c r="M253" s="48" t="str">
        <f>HYPERLINK("https://law.justia.com/cases/north-carolina/court-of-appeals/2019/18-736.html","https://law.justia.com/cases/north-carolina/court-of-appeals/2019/18-736.html")</f>
        <v>https://law.justia.com/cases/north-carolina/court-of-appeals/2019/18-736.html</v>
      </c>
      <c r="N253" s="47" t="s">
        <v>2489</v>
      </c>
      <c r="O253" s="47" t="s">
        <v>2490</v>
      </c>
      <c r="P253" s="46" t="s">
        <v>2901</v>
      </c>
      <c r="Q253" s="46" t="s">
        <v>20</v>
      </c>
    </row>
    <row r="254" spans="1:17" ht="179.75" customHeight="1" x14ac:dyDescent="0.35">
      <c r="A254" s="46" t="s">
        <v>2902</v>
      </c>
      <c r="B254" s="46" t="s">
        <v>107</v>
      </c>
      <c r="C254" s="49" t="s">
        <v>2481</v>
      </c>
      <c r="D254" s="49" t="s">
        <v>517</v>
      </c>
      <c r="E254" s="46" t="s">
        <v>2903</v>
      </c>
      <c r="F254" s="49" t="s">
        <v>110</v>
      </c>
      <c r="G254" s="46" t="s">
        <v>2904</v>
      </c>
      <c r="H254" s="49" t="s">
        <v>2905</v>
      </c>
      <c r="I254" s="49" t="s">
        <v>2528</v>
      </c>
      <c r="J254" s="49" t="s">
        <v>2906</v>
      </c>
      <c r="K254" s="49" t="s">
        <v>2487</v>
      </c>
      <c r="L254" s="49" t="s">
        <v>2907</v>
      </c>
      <c r="M254" s="48" t="str">
        <f>HYPERLINK("https://law.justia.com/cases/north-carolina/court-of-appeals/2008/070127-1.html","https://law.justia.com/cases/north-carolina/court-of-appeals/2008/070127-1.html")</f>
        <v>https://law.justia.com/cases/north-carolina/court-of-appeals/2008/070127-1.html</v>
      </c>
      <c r="N254" s="49" t="s">
        <v>2489</v>
      </c>
      <c r="O254" s="49" t="s">
        <v>2490</v>
      </c>
      <c r="P254" s="46" t="s">
        <v>2908</v>
      </c>
      <c r="Q254" s="49" t="s">
        <v>20</v>
      </c>
    </row>
    <row r="255" spans="1:17" ht="179.75" customHeight="1" x14ac:dyDescent="0.35">
      <c r="A255" s="46" t="s">
        <v>2909</v>
      </c>
      <c r="B255" s="46" t="s">
        <v>107</v>
      </c>
      <c r="C255" s="49" t="s">
        <v>2481</v>
      </c>
      <c r="D255" s="49" t="s">
        <v>517</v>
      </c>
      <c r="E255" s="46" t="s">
        <v>2910</v>
      </c>
      <c r="F255" s="49" t="s">
        <v>2911</v>
      </c>
      <c r="G255" s="46" t="s">
        <v>2912</v>
      </c>
      <c r="H255" s="49" t="s">
        <v>2913</v>
      </c>
      <c r="I255" s="49" t="s">
        <v>2914</v>
      </c>
      <c r="J255" s="49" t="s">
        <v>2915</v>
      </c>
      <c r="K255" s="49" t="s">
        <v>2487</v>
      </c>
      <c r="L255" s="49" t="s">
        <v>2916</v>
      </c>
      <c r="M255" s="48" t="str">
        <f>HYPERLINK("https://law.justia.com/cases/north-carolina/court-of-appeals/2020/19-883.html","https://law.justia.com/cases/north-carolina/court-of-appeals/2020/19-883.html")</f>
        <v>https://law.justia.com/cases/north-carolina/court-of-appeals/2020/19-883.html</v>
      </c>
      <c r="N255" s="49" t="s">
        <v>2489</v>
      </c>
      <c r="O255" s="49" t="s">
        <v>2490</v>
      </c>
      <c r="P255" s="46" t="s">
        <v>2917</v>
      </c>
      <c r="Q255" s="49" t="s">
        <v>20</v>
      </c>
    </row>
    <row r="256" spans="1:17" ht="179.75" customHeight="1" x14ac:dyDescent="0.35">
      <c r="A256" s="46" t="s">
        <v>2918</v>
      </c>
      <c r="B256" s="46" t="s">
        <v>107</v>
      </c>
      <c r="C256" s="47" t="s">
        <v>2481</v>
      </c>
      <c r="D256" s="47" t="s">
        <v>517</v>
      </c>
      <c r="E256" s="46" t="s">
        <v>2919</v>
      </c>
      <c r="F256" s="47" t="s">
        <v>110</v>
      </c>
      <c r="G256" s="46" t="s">
        <v>2920</v>
      </c>
      <c r="H256" s="47" t="s">
        <v>2921</v>
      </c>
      <c r="I256" s="47" t="s">
        <v>2528</v>
      </c>
      <c r="J256" s="47" t="s">
        <v>2922</v>
      </c>
      <c r="K256" s="47" t="s">
        <v>2487</v>
      </c>
      <c r="L256" s="47" t="s">
        <v>2923</v>
      </c>
      <c r="M256" s="48" t="str">
        <f>HYPERLINK("https://law.justia.com/cases/north-carolina/court-of-appeals/2015/15-501.html","https://law.justia.com/cases/north-carolina/court-of-appeals/2015/15-501.html")</f>
        <v>https://law.justia.com/cases/north-carolina/court-of-appeals/2015/15-501.html</v>
      </c>
      <c r="N256" s="47" t="s">
        <v>2489</v>
      </c>
      <c r="O256" s="47" t="s">
        <v>2490</v>
      </c>
      <c r="P256" s="46" t="s">
        <v>2924</v>
      </c>
      <c r="Q256" s="46" t="s">
        <v>20</v>
      </c>
    </row>
    <row r="257" spans="1:17" ht="179.75" customHeight="1" x14ac:dyDescent="0.35">
      <c r="A257" s="46" t="s">
        <v>2925</v>
      </c>
      <c r="B257" s="46" t="s">
        <v>107</v>
      </c>
      <c r="C257" s="49" t="s">
        <v>2481</v>
      </c>
      <c r="D257" s="49" t="s">
        <v>517</v>
      </c>
      <c r="E257" s="46" t="s">
        <v>2926</v>
      </c>
      <c r="F257" s="49" t="s">
        <v>1873</v>
      </c>
      <c r="G257" s="46" t="s">
        <v>2927</v>
      </c>
      <c r="H257" s="49" t="s">
        <v>2928</v>
      </c>
      <c r="I257" s="49" t="s">
        <v>2528</v>
      </c>
      <c r="J257" s="49" t="s">
        <v>2929</v>
      </c>
      <c r="K257" s="49" t="s">
        <v>2487</v>
      </c>
      <c r="L257" s="49" t="s">
        <v>2930</v>
      </c>
      <c r="M257" s="48" t="str">
        <f>HYPERLINK("https://law.justia.com/cases/north-carolina/court-of-appeals/2013/12-1380.html","https://law.justia.com/cases/north-carolina/court-of-appeals/2013/12-1380.html")</f>
        <v>https://law.justia.com/cases/north-carolina/court-of-appeals/2013/12-1380.html</v>
      </c>
      <c r="N257" s="49" t="s">
        <v>2489</v>
      </c>
      <c r="O257" s="49" t="s">
        <v>2490</v>
      </c>
      <c r="P257" s="46" t="s">
        <v>2931</v>
      </c>
      <c r="Q257" s="49" t="s">
        <v>20</v>
      </c>
    </row>
    <row r="258" spans="1:17" ht="179.75" customHeight="1" x14ac:dyDescent="0.35">
      <c r="A258" s="46" t="s">
        <v>2932</v>
      </c>
      <c r="B258" s="46" t="s">
        <v>107</v>
      </c>
      <c r="C258" s="49" t="s">
        <v>2481</v>
      </c>
      <c r="D258" s="49" t="s">
        <v>122</v>
      </c>
      <c r="E258" s="46" t="s">
        <v>2933</v>
      </c>
      <c r="F258" s="49" t="s">
        <v>2549</v>
      </c>
      <c r="G258" s="46" t="s">
        <v>2934</v>
      </c>
      <c r="H258" s="49" t="s">
        <v>2935</v>
      </c>
      <c r="I258" s="49" t="s">
        <v>2528</v>
      </c>
      <c r="J258" s="49" t="s">
        <v>2936</v>
      </c>
      <c r="K258" s="49" t="s">
        <v>2487</v>
      </c>
      <c r="L258" s="49" t="s">
        <v>2937</v>
      </c>
      <c r="M258" s="48" t="str">
        <f>HYPERLINK("https://law.justia.com/cases/texas/supreme-court/2022/20-0857.html","https://law.justia.com/cases/texas/supreme-court/2022/20-0857.html")</f>
        <v>https://law.justia.com/cases/texas/supreme-court/2022/20-0857.html</v>
      </c>
      <c r="N258" s="49" t="s">
        <v>2489</v>
      </c>
      <c r="O258" s="49" t="s">
        <v>2490</v>
      </c>
      <c r="P258" s="46" t="s">
        <v>2938</v>
      </c>
      <c r="Q258" s="49" t="s">
        <v>20</v>
      </c>
    </row>
    <row r="259" spans="1:17" ht="179.75" customHeight="1" x14ac:dyDescent="0.35">
      <c r="A259" s="46" t="s">
        <v>2939</v>
      </c>
      <c r="B259" s="46" t="s">
        <v>107</v>
      </c>
      <c r="C259" s="49" t="s">
        <v>2481</v>
      </c>
      <c r="D259" s="49" t="s">
        <v>195</v>
      </c>
      <c r="E259" s="46" t="s">
        <v>2940</v>
      </c>
      <c r="F259" s="49" t="s">
        <v>110</v>
      </c>
      <c r="G259" s="46" t="s">
        <v>2941</v>
      </c>
      <c r="H259" s="49" t="s">
        <v>2942</v>
      </c>
      <c r="I259" s="49" t="s">
        <v>2943</v>
      </c>
      <c r="J259" s="49" t="s">
        <v>2944</v>
      </c>
      <c r="K259" s="49" t="s">
        <v>2487</v>
      </c>
      <c r="L259" s="49" t="s">
        <v>2945</v>
      </c>
      <c r="M259" s="48" t="str">
        <f>HYPERLINK("https://findhoalaw.com/grossman-v-park-fort-washington-association/","https://findhoalaw.com/grossman-v-park-fort-washington-association/")</f>
        <v>https://findhoalaw.com/grossman-v-park-fort-washington-association/</v>
      </c>
      <c r="N259" s="49" t="s">
        <v>2489</v>
      </c>
      <c r="O259" s="49" t="s">
        <v>2490</v>
      </c>
      <c r="P259" s="46" t="s">
        <v>2946</v>
      </c>
      <c r="Q259" s="49" t="s">
        <v>20</v>
      </c>
    </row>
    <row r="260" spans="1:17" ht="179.75" customHeight="1" x14ac:dyDescent="0.35">
      <c r="A260" s="46" t="s">
        <v>2947</v>
      </c>
      <c r="B260" s="46" t="s">
        <v>107</v>
      </c>
      <c r="C260" s="49" t="s">
        <v>2481</v>
      </c>
      <c r="D260" s="49" t="s">
        <v>195</v>
      </c>
      <c r="E260" s="46" t="s">
        <v>2948</v>
      </c>
      <c r="F260" s="49" t="s">
        <v>110</v>
      </c>
      <c r="G260" s="46" t="s">
        <v>2949</v>
      </c>
      <c r="H260" s="49" t="s">
        <v>2950</v>
      </c>
      <c r="I260" s="49" t="s">
        <v>2951</v>
      </c>
      <c r="J260" s="49" t="s">
        <v>2952</v>
      </c>
      <c r="K260" s="49" t="s">
        <v>2487</v>
      </c>
      <c r="L260" s="49" t="s">
        <v>2953</v>
      </c>
      <c r="M260" s="48" t="str">
        <f>HYPERLINK("https://law.justia.com/cases/california/court-of-appeal/2016/h041030.html","https://law.justia.com/cases/california/court-of-appeal/2016/h041030.html")</f>
        <v>https://law.justia.com/cases/california/court-of-appeal/2016/h041030.html</v>
      </c>
      <c r="N260" s="49" t="s">
        <v>2489</v>
      </c>
      <c r="O260" s="49" t="s">
        <v>2490</v>
      </c>
      <c r="P260" s="46" t="s">
        <v>2954</v>
      </c>
      <c r="Q260" s="49" t="s">
        <v>20</v>
      </c>
    </row>
    <row r="261" spans="1:17" ht="179.75" customHeight="1" x14ac:dyDescent="0.35">
      <c r="A261" s="46" t="s">
        <v>2955</v>
      </c>
      <c r="B261" s="46" t="s">
        <v>107</v>
      </c>
      <c r="C261" s="49" t="s">
        <v>2481</v>
      </c>
      <c r="D261" s="49" t="s">
        <v>195</v>
      </c>
      <c r="E261" s="46" t="s">
        <v>2956</v>
      </c>
      <c r="F261" s="49" t="s">
        <v>110</v>
      </c>
      <c r="G261" s="46" t="s">
        <v>2957</v>
      </c>
      <c r="H261" s="49" t="s">
        <v>2958</v>
      </c>
      <c r="I261" s="49" t="s">
        <v>2528</v>
      </c>
      <c r="J261" s="49" t="s">
        <v>2959</v>
      </c>
      <c r="K261" s="49" t="s">
        <v>2487</v>
      </c>
      <c r="L261" s="49" t="s">
        <v>2960</v>
      </c>
      <c r="M261" s="48" t="str">
        <f>HYPERLINK("https://law.justia.com/cases/california/court-of-appeal/2017/g053164.html","https://law.justia.com/cases/california/court-of-appeal/2017/g053164.html")</f>
        <v>https://law.justia.com/cases/california/court-of-appeal/2017/g053164.html</v>
      </c>
      <c r="N261" s="49" t="s">
        <v>2489</v>
      </c>
      <c r="O261" s="49" t="s">
        <v>2490</v>
      </c>
      <c r="P261" s="46" t="s">
        <v>2961</v>
      </c>
      <c r="Q261" s="49" t="s">
        <v>20</v>
      </c>
    </row>
    <row r="262" spans="1:17" ht="179.75" customHeight="1" x14ac:dyDescent="0.35">
      <c r="A262" s="46" t="s">
        <v>2962</v>
      </c>
      <c r="B262" s="46" t="s">
        <v>107</v>
      </c>
      <c r="C262" s="47" t="s">
        <v>2481</v>
      </c>
      <c r="D262" s="47" t="s">
        <v>195</v>
      </c>
      <c r="E262" s="46" t="s">
        <v>2963</v>
      </c>
      <c r="F262" s="47" t="s">
        <v>2964</v>
      </c>
      <c r="G262" s="46" t="s">
        <v>2965</v>
      </c>
      <c r="H262" s="47" t="s">
        <v>2966</v>
      </c>
      <c r="I262" s="47" t="s">
        <v>2528</v>
      </c>
      <c r="J262" s="47" t="s">
        <v>2967</v>
      </c>
      <c r="K262" s="47" t="s">
        <v>2487</v>
      </c>
      <c r="L262" s="47" t="s">
        <v>2968</v>
      </c>
      <c r="M262" s="48" t="str">
        <f>HYPERLINK("https://law.justia.com/cases/california/court-of-appeal/2013/h038734.html","https://law.justia.com/cases/california/court-of-appeal/2013/h038734.html")</f>
        <v>https://law.justia.com/cases/california/court-of-appeal/2013/h038734.html</v>
      </c>
      <c r="N262" s="47" t="s">
        <v>2489</v>
      </c>
      <c r="O262" s="47" t="s">
        <v>2490</v>
      </c>
      <c r="P262" s="46" t="s">
        <v>2969</v>
      </c>
      <c r="Q262" s="46" t="s">
        <v>20</v>
      </c>
    </row>
    <row r="263" spans="1:17" ht="179.75" customHeight="1" x14ac:dyDescent="0.35">
      <c r="A263" s="46" t="s">
        <v>2970</v>
      </c>
      <c r="B263" s="46" t="s">
        <v>107</v>
      </c>
      <c r="C263" s="47" t="s">
        <v>2481</v>
      </c>
      <c r="D263" s="47" t="s">
        <v>2971</v>
      </c>
      <c r="E263" s="46" t="s">
        <v>2972</v>
      </c>
      <c r="F263" s="47" t="s">
        <v>2973</v>
      </c>
      <c r="G263" s="46" t="s">
        <v>2974</v>
      </c>
      <c r="H263" s="47" t="s">
        <v>2975</v>
      </c>
      <c r="I263" s="47" t="s">
        <v>2528</v>
      </c>
      <c r="J263" s="47" t="s">
        <v>2976</v>
      </c>
      <c r="K263" s="47" t="s">
        <v>2487</v>
      </c>
      <c r="L263" s="47" t="s">
        <v>2977</v>
      </c>
      <c r="M263" s="48" t="str">
        <f>HYPERLINK("https://law.justia.com/cases/federal/district-courts/california/caedce/2%3A2022cv00348/407260/102/","https://law.justia.com/cases/federal/district-courts/california/caedce/2%3A2022cv00348/407260/102/")</f>
        <v>https://law.justia.com/cases/federal/district-courts/california/caedce/2%3A2022cv00348/407260/102/</v>
      </c>
      <c r="N263" s="47" t="s">
        <v>2489</v>
      </c>
      <c r="O263" s="47" t="s">
        <v>2490</v>
      </c>
      <c r="P263" s="46" t="s">
        <v>2978</v>
      </c>
      <c r="Q263" s="46" t="s">
        <v>20</v>
      </c>
    </row>
    <row r="264" spans="1:17" ht="179.75" customHeight="1" x14ac:dyDescent="0.35">
      <c r="A264" s="46" t="s">
        <v>2979</v>
      </c>
      <c r="B264" s="46" t="s">
        <v>107</v>
      </c>
      <c r="C264" s="49" t="s">
        <v>2481</v>
      </c>
      <c r="D264" s="49" t="s">
        <v>195</v>
      </c>
      <c r="E264" s="46" t="s">
        <v>2980</v>
      </c>
      <c r="F264" s="49" t="s">
        <v>2981</v>
      </c>
      <c r="G264" s="46" t="s">
        <v>2982</v>
      </c>
      <c r="H264" s="49" t="s">
        <v>2983</v>
      </c>
      <c r="I264" s="49" t="s">
        <v>2528</v>
      </c>
      <c r="J264" s="49" t="s">
        <v>2984</v>
      </c>
      <c r="K264" s="49" t="s">
        <v>2487</v>
      </c>
      <c r="L264" s="49" t="s">
        <v>2985</v>
      </c>
      <c r="M264" s="48" t="str">
        <f>HYPERLINK("https://law.justia.com/cases/california/court-of-appeal/2025/d084138.html","https://law.justia.com/cases/california/court-of-appeal/2025/d084138.html")</f>
        <v>https://law.justia.com/cases/california/court-of-appeal/2025/d084138.html</v>
      </c>
      <c r="N264" s="49" t="s">
        <v>2489</v>
      </c>
      <c r="O264" s="49" t="s">
        <v>2490</v>
      </c>
      <c r="P264" s="46" t="s">
        <v>2986</v>
      </c>
      <c r="Q264" s="49" t="s">
        <v>20</v>
      </c>
    </row>
    <row r="265" spans="1:17" ht="179.75" customHeight="1" x14ac:dyDescent="0.35">
      <c r="A265" s="46" t="s">
        <v>2987</v>
      </c>
      <c r="B265" s="46" t="s">
        <v>107</v>
      </c>
      <c r="C265" s="47" t="s">
        <v>2481</v>
      </c>
      <c r="D265" s="47" t="s">
        <v>2988</v>
      </c>
      <c r="E265" s="46" t="s">
        <v>2989</v>
      </c>
      <c r="F265" s="47" t="s">
        <v>2549</v>
      </c>
      <c r="G265" s="46" t="s">
        <v>2990</v>
      </c>
      <c r="H265" s="47" t="s">
        <v>2991</v>
      </c>
      <c r="I265" s="47" t="s">
        <v>2528</v>
      </c>
      <c r="J265" s="47" t="s">
        <v>2992</v>
      </c>
      <c r="K265" s="47" t="s">
        <v>2487</v>
      </c>
      <c r="L265" s="47" t="s">
        <v>2993</v>
      </c>
      <c r="M265" s="48" t="str">
        <f>HYPERLINK("https://law.justia.com/cases/montana/supreme-court/2025/da-24-0502.html","https://law.justia.com/cases/montana/supreme-court/2025/da-24-0502.html")</f>
        <v>https://law.justia.com/cases/montana/supreme-court/2025/da-24-0502.html</v>
      </c>
      <c r="N265" s="47" t="s">
        <v>2489</v>
      </c>
      <c r="O265" s="47" t="s">
        <v>2490</v>
      </c>
      <c r="P265" s="46" t="s">
        <v>2994</v>
      </c>
      <c r="Q265" s="46" t="s">
        <v>20</v>
      </c>
    </row>
    <row r="266" spans="1:17" ht="179.75" customHeight="1" x14ac:dyDescent="0.35">
      <c r="A266" s="46" t="s">
        <v>2995</v>
      </c>
      <c r="B266" s="46" t="s">
        <v>107</v>
      </c>
      <c r="C266" s="47" t="s">
        <v>2481</v>
      </c>
      <c r="D266" s="47" t="s">
        <v>2988</v>
      </c>
      <c r="E266" s="46" t="s">
        <v>2996</v>
      </c>
      <c r="F266" s="47" t="s">
        <v>2964</v>
      </c>
      <c r="G266" s="46" t="s">
        <v>2997</v>
      </c>
      <c r="H266" s="47" t="s">
        <v>2998</v>
      </c>
      <c r="I266" s="47" t="s">
        <v>2528</v>
      </c>
      <c r="J266" s="47" t="s">
        <v>2999</v>
      </c>
      <c r="K266" s="47" t="s">
        <v>2487</v>
      </c>
      <c r="L266" s="47" t="s">
        <v>3000</v>
      </c>
      <c r="M266" s="48" t="str">
        <f>HYPERLINK("https://law.justia.com/cases/montana/supreme-court/2015/da-14-0442.html","https://law.justia.com/cases/montana/supreme-court/2015/da-14-0442.html")</f>
        <v>https://law.justia.com/cases/montana/supreme-court/2015/da-14-0442.html</v>
      </c>
      <c r="N266" s="47" t="s">
        <v>2489</v>
      </c>
      <c r="O266" s="47" t="s">
        <v>2490</v>
      </c>
      <c r="P266" s="46" t="s">
        <v>3001</v>
      </c>
      <c r="Q266" s="46" t="s">
        <v>20</v>
      </c>
    </row>
    <row r="267" spans="1:17" ht="179.75" customHeight="1" x14ac:dyDescent="0.35">
      <c r="A267" s="46" t="s">
        <v>3002</v>
      </c>
      <c r="B267" s="46" t="s">
        <v>107</v>
      </c>
      <c r="C267" s="47" t="s">
        <v>2481</v>
      </c>
      <c r="D267" s="47" t="s">
        <v>309</v>
      </c>
      <c r="E267" s="46" t="s">
        <v>3003</v>
      </c>
      <c r="F267" s="47" t="s">
        <v>3004</v>
      </c>
      <c r="G267" s="46" t="s">
        <v>3005</v>
      </c>
      <c r="H267" s="47" t="s">
        <v>3006</v>
      </c>
      <c r="I267" s="47" t="s">
        <v>2528</v>
      </c>
      <c r="J267" s="47" t="s">
        <v>3007</v>
      </c>
      <c r="K267" s="47" t="s">
        <v>2487</v>
      </c>
      <c r="L267" s="47" t="s">
        <v>3008</v>
      </c>
      <c r="M267" s="48" t="str">
        <f>HYPERLINK("https://law.justia.com/cases/nevada/supreme-court/2008/47763-2.html","https://law.justia.com/cases/nevada/supreme-court/2008/47763-2.html")</f>
        <v>https://law.justia.com/cases/nevada/supreme-court/2008/47763-2.html</v>
      </c>
      <c r="N267" s="47" t="s">
        <v>2489</v>
      </c>
      <c r="O267" s="47" t="s">
        <v>2490</v>
      </c>
      <c r="P267" s="46" t="s">
        <v>3009</v>
      </c>
      <c r="Q267" s="46" t="s">
        <v>20</v>
      </c>
    </row>
    <row r="268" spans="1:17" ht="179.75" customHeight="1" x14ac:dyDescent="0.35">
      <c r="A268" s="46" t="s">
        <v>3010</v>
      </c>
      <c r="B268" s="46" t="s">
        <v>107</v>
      </c>
      <c r="C268" s="47" t="s">
        <v>2481</v>
      </c>
      <c r="D268" s="47" t="s">
        <v>402</v>
      </c>
      <c r="E268" s="46" t="s">
        <v>3011</v>
      </c>
      <c r="F268" s="47" t="s">
        <v>2597</v>
      </c>
      <c r="G268" s="46" t="s">
        <v>3012</v>
      </c>
      <c r="H268" s="47" t="s">
        <v>3013</v>
      </c>
      <c r="I268" s="47" t="s">
        <v>3014</v>
      </c>
      <c r="J268" s="47" t="s">
        <v>3015</v>
      </c>
      <c r="K268" s="47" t="s">
        <v>2487</v>
      </c>
      <c r="L268" s="47" t="s">
        <v>3016</v>
      </c>
      <c r="M268" s="48" t="str">
        <f>HYPERLINK("https://law.justia.com/cases/oregon/court-of-appeals/2016/a156532.html","https://law.justia.com/cases/oregon/court-of-appeals/2016/a156532.html")</f>
        <v>https://law.justia.com/cases/oregon/court-of-appeals/2016/a156532.html</v>
      </c>
      <c r="N268" s="47" t="s">
        <v>2489</v>
      </c>
      <c r="O268" s="47" t="s">
        <v>2490</v>
      </c>
      <c r="P268" s="46" t="s">
        <v>3017</v>
      </c>
      <c r="Q268" s="46" t="s">
        <v>20</v>
      </c>
    </row>
    <row r="269" spans="1:17" ht="179.75" customHeight="1" x14ac:dyDescent="0.35">
      <c r="A269" s="46" t="s">
        <v>3018</v>
      </c>
      <c r="B269" s="46" t="s">
        <v>107</v>
      </c>
      <c r="C269" s="47" t="s">
        <v>2481</v>
      </c>
      <c r="D269" s="47" t="s">
        <v>402</v>
      </c>
      <c r="E269" s="46" t="s">
        <v>3019</v>
      </c>
      <c r="F269" s="47" t="s">
        <v>2911</v>
      </c>
      <c r="G269" s="46" t="s">
        <v>3020</v>
      </c>
      <c r="H269" s="47" t="s">
        <v>3021</v>
      </c>
      <c r="I269" s="47" t="s">
        <v>3022</v>
      </c>
      <c r="J269" s="47" t="s">
        <v>3023</v>
      </c>
      <c r="K269" s="47" t="s">
        <v>2487</v>
      </c>
      <c r="L269" s="47" t="s">
        <v>3024</v>
      </c>
      <c r="M269" s="48" t="str">
        <f>HYPERLINK("https://law.justia.com/cases/oregon/court-of-appeals/2022/a171260.html","https://law.justia.com/cases/oregon/court-of-appeals/2022/a171260.html")</f>
        <v>https://law.justia.com/cases/oregon/court-of-appeals/2022/a171260.html</v>
      </c>
      <c r="N269" s="47" t="s">
        <v>2489</v>
      </c>
      <c r="O269" s="47" t="s">
        <v>2490</v>
      </c>
      <c r="P269" s="46" t="s">
        <v>3025</v>
      </c>
      <c r="Q269" s="46" t="s">
        <v>20</v>
      </c>
    </row>
    <row r="270" spans="1:17" ht="179.75" customHeight="1" x14ac:dyDescent="0.35">
      <c r="A270" s="46" t="s">
        <v>3026</v>
      </c>
      <c r="B270" s="46" t="s">
        <v>107</v>
      </c>
      <c r="C270" s="47" t="s">
        <v>2481</v>
      </c>
      <c r="D270" s="47" t="s">
        <v>1560</v>
      </c>
      <c r="E270" s="46" t="s">
        <v>3027</v>
      </c>
      <c r="F270" s="47" t="s">
        <v>3028</v>
      </c>
      <c r="G270" s="46" t="s">
        <v>3029</v>
      </c>
      <c r="H270" s="47" t="s">
        <v>3030</v>
      </c>
      <c r="I270" s="47" t="s">
        <v>3031</v>
      </c>
      <c r="J270" s="47" t="s">
        <v>3032</v>
      </c>
      <c r="K270" s="47" t="s">
        <v>2487</v>
      </c>
      <c r="L270" s="47" t="s">
        <v>3033</v>
      </c>
      <c r="M270" s="48" t="str">
        <f>HYPERLINK("https://law.justia.com/cases/washington/court-of-appeals-division-iii/2023/38837-9.html","https://law.justia.com/cases/washington/court-of-appeals-division-iii/2023/38837-9.html")</f>
        <v>https://law.justia.com/cases/washington/court-of-appeals-division-iii/2023/38837-9.html</v>
      </c>
      <c r="N270" s="47" t="s">
        <v>2489</v>
      </c>
      <c r="O270" s="47" t="s">
        <v>3034</v>
      </c>
      <c r="P270" s="46" t="s">
        <v>413</v>
      </c>
      <c r="Q270" s="46" t="s">
        <v>20</v>
      </c>
    </row>
    <row r="271" spans="1:17" ht="179.75" customHeight="1" x14ac:dyDescent="0.35">
      <c r="A271" s="46" t="s">
        <v>3035</v>
      </c>
      <c r="B271" s="46" t="s">
        <v>400</v>
      </c>
      <c r="C271" s="47" t="s">
        <v>3036</v>
      </c>
      <c r="D271" s="47" t="s">
        <v>309</v>
      </c>
      <c r="E271" s="46" t="s">
        <v>3037</v>
      </c>
      <c r="F271" s="47" t="s">
        <v>3038</v>
      </c>
      <c r="G271" s="46" t="s">
        <v>3039</v>
      </c>
      <c r="H271" s="47" t="s">
        <v>3040</v>
      </c>
      <c r="I271" s="47" t="s">
        <v>3041</v>
      </c>
      <c r="J271" s="47" t="s">
        <v>3042</v>
      </c>
      <c r="K271" s="47" t="s">
        <v>2487</v>
      </c>
      <c r="L271" s="47" t="s">
        <v>3043</v>
      </c>
      <c r="M271" s="48" t="str">
        <f>HYPERLINK("https://law.justia.com/cases/nevada/supreme-court/2016/63180.html","https://law.justia.com/cases/nevada/supreme-court/2016/63180.html")</f>
        <v>https://law.justia.com/cases/nevada/supreme-court/2016/63180.html</v>
      </c>
      <c r="N271" s="47" t="s">
        <v>2489</v>
      </c>
      <c r="O271" s="47" t="s">
        <v>3044</v>
      </c>
      <c r="P271" s="46" t="s">
        <v>3045</v>
      </c>
      <c r="Q271" s="46" t="s">
        <v>20</v>
      </c>
    </row>
    <row r="272" spans="1:17" ht="179.75" customHeight="1" x14ac:dyDescent="0.35">
      <c r="A272" s="46" t="s">
        <v>3046</v>
      </c>
      <c r="B272" s="46" t="s">
        <v>107</v>
      </c>
      <c r="C272" s="47" t="s">
        <v>2481</v>
      </c>
      <c r="D272" s="47" t="s">
        <v>402</v>
      </c>
      <c r="E272" s="46" t="s">
        <v>3047</v>
      </c>
      <c r="F272" s="47" t="s">
        <v>3048</v>
      </c>
      <c r="G272" s="46" t="s">
        <v>3049</v>
      </c>
      <c r="H272" s="47" t="s">
        <v>3050</v>
      </c>
      <c r="I272" s="47" t="s">
        <v>2528</v>
      </c>
      <c r="J272" s="47" t="s">
        <v>3051</v>
      </c>
      <c r="K272" s="47" t="s">
        <v>2487</v>
      </c>
      <c r="L272" s="47" t="s">
        <v>3052</v>
      </c>
      <c r="M272" s="48" t="str">
        <f>HYPERLINK("https://law.justia.com/cases/oregon/court-of-appeals/2008/a132919.html","https://law.justia.com/cases/oregon/court-of-appeals/2008/a132919.html")</f>
        <v>https://law.justia.com/cases/oregon/court-of-appeals/2008/a132919.html</v>
      </c>
      <c r="N272" s="47" t="s">
        <v>2489</v>
      </c>
      <c r="O272" s="47" t="s">
        <v>3044</v>
      </c>
      <c r="P272" s="46" t="s">
        <v>3053</v>
      </c>
      <c r="Q272" s="46" t="s">
        <v>20</v>
      </c>
    </row>
    <row r="273" spans="1:17" ht="179.75" customHeight="1" x14ac:dyDescent="0.35">
      <c r="A273" s="46" t="s">
        <v>3054</v>
      </c>
      <c r="B273" s="46" t="s">
        <v>107</v>
      </c>
      <c r="C273" s="47" t="s">
        <v>2481</v>
      </c>
      <c r="D273" s="47" t="s">
        <v>2988</v>
      </c>
      <c r="E273" s="46" t="s">
        <v>3055</v>
      </c>
      <c r="F273" s="47" t="s">
        <v>3056</v>
      </c>
      <c r="G273" s="46" t="s">
        <v>3057</v>
      </c>
      <c r="H273" s="47" t="s">
        <v>3058</v>
      </c>
      <c r="I273" s="47" t="s">
        <v>2528</v>
      </c>
      <c r="J273" s="47" t="s">
        <v>3059</v>
      </c>
      <c r="K273" s="47" t="s">
        <v>2487</v>
      </c>
      <c r="L273" s="47" t="s">
        <v>3060</v>
      </c>
      <c r="M273" s="48" t="str">
        <f>HYPERLINK("https://law.justia.com/cases/montana/supreme-court/2004/4d76ffd7-4275-4526-954b-62440e9c86d5.html","https://law.justia.com/cases/montana/supreme-court/2004/4d76ffd7-4275-4526-954b-62440e9c86d5.html")</f>
        <v>https://law.justia.com/cases/montana/supreme-court/2004/4d76ffd7-4275-4526-954b-62440e9c86d5.html</v>
      </c>
      <c r="N273" s="47" t="s">
        <v>2489</v>
      </c>
      <c r="O273" s="47" t="s">
        <v>3044</v>
      </c>
      <c r="P273" s="46" t="s">
        <v>3061</v>
      </c>
      <c r="Q273" s="46" t="s">
        <v>20</v>
      </c>
    </row>
    <row r="274" spans="1:17" ht="179.75" customHeight="1" x14ac:dyDescent="0.35">
      <c r="A274" s="50" t="s">
        <v>3062</v>
      </c>
      <c r="B274" s="50" t="s">
        <v>107</v>
      </c>
      <c r="C274" s="51" t="s">
        <v>108</v>
      </c>
      <c r="D274" s="51" t="s">
        <v>3063</v>
      </c>
      <c r="E274" s="50" t="s">
        <v>3064</v>
      </c>
      <c r="F274" s="51" t="s">
        <v>111</v>
      </c>
      <c r="G274" s="50" t="s">
        <v>3065</v>
      </c>
      <c r="H274" s="51" t="s">
        <v>3066</v>
      </c>
      <c r="I274" s="51" t="s">
        <v>3067</v>
      </c>
      <c r="J274" s="51" t="s">
        <v>3068</v>
      </c>
      <c r="K274" s="51" t="s">
        <v>115</v>
      </c>
      <c r="L274" s="51" t="s">
        <v>3069</v>
      </c>
      <c r="M274" s="52" t="str">
        <f>HYPERLINK("https://www.reddit.com/r/fuckHOA/comments/yxy8p5/management_company_fee_is_over_50_of_total_hoa/","https://www.reddit.com/r/fuckHOA/comments/yxy8p5/management_company_fee_is_over_50_of_total_hoa/")</f>
        <v>https://www.reddit.com/r/fuckHOA/comments/yxy8p5/management_company_fee_is_over_50_of_total_hoa/</v>
      </c>
      <c r="N274" s="51" t="s">
        <v>117</v>
      </c>
      <c r="O274" s="51" t="s">
        <v>118</v>
      </c>
      <c r="P274" s="50" t="s">
        <v>119</v>
      </c>
      <c r="Q274" s="50" t="s">
        <v>23</v>
      </c>
    </row>
    <row r="275" spans="1:17" ht="179.75" customHeight="1" x14ac:dyDescent="0.35">
      <c r="A275" s="50" t="s">
        <v>3070</v>
      </c>
      <c r="B275" s="50" t="s">
        <v>107</v>
      </c>
      <c r="C275" s="51" t="s">
        <v>108</v>
      </c>
      <c r="D275" s="51" t="s">
        <v>3063</v>
      </c>
      <c r="E275" s="50" t="s">
        <v>3071</v>
      </c>
      <c r="F275" s="51" t="s">
        <v>111</v>
      </c>
      <c r="G275" s="50" t="s">
        <v>3072</v>
      </c>
      <c r="H275" s="51" t="s">
        <v>3073</v>
      </c>
      <c r="I275" s="51"/>
      <c r="J275" s="51" t="s">
        <v>3074</v>
      </c>
      <c r="K275" s="51" t="s">
        <v>115</v>
      </c>
      <c r="L275" s="51" t="s">
        <v>3075</v>
      </c>
      <c r="M275" s="52" t="str">
        <f>HYPERLINK("https://www.trustpilot.com/review/www.sentrymgt.com","https://www.trustpilot.com/review/www.sentrymgt.com")</f>
        <v>https://www.trustpilot.com/review/www.sentrymgt.com</v>
      </c>
      <c r="N275" s="51" t="s">
        <v>117</v>
      </c>
      <c r="O275" s="51" t="s">
        <v>118</v>
      </c>
      <c r="P275" s="50" t="s">
        <v>119</v>
      </c>
      <c r="Q275" s="50" t="s">
        <v>23</v>
      </c>
    </row>
    <row r="276" spans="1:17" ht="179.75" customHeight="1" x14ac:dyDescent="0.35">
      <c r="A276" s="50" t="s">
        <v>3076</v>
      </c>
      <c r="B276" s="50" t="s">
        <v>107</v>
      </c>
      <c r="C276" s="51" t="s">
        <v>108</v>
      </c>
      <c r="D276" s="51" t="s">
        <v>122</v>
      </c>
      <c r="E276" s="50" t="s">
        <v>3077</v>
      </c>
      <c r="F276" s="51" t="s">
        <v>111</v>
      </c>
      <c r="G276" s="50" t="s">
        <v>3078</v>
      </c>
      <c r="H276" s="51" t="s">
        <v>3079</v>
      </c>
      <c r="I276" s="51"/>
      <c r="J276" s="51" t="s">
        <v>3080</v>
      </c>
      <c r="K276" s="51" t="s">
        <v>115</v>
      </c>
      <c r="L276" s="51" t="s">
        <v>3081</v>
      </c>
      <c r="M276" s="52" t="str">
        <f>HYPERLINK("https://www.bbb.org/us/tx/richardson/profile/property-management/proper-hoa-management-0875-91347063/complaints","https://www.bbb.org/us/tx/richardson/profile/property-management/proper-hoa-management-0875-91347063/complaints")</f>
        <v>https://www.bbb.org/us/tx/richardson/profile/property-management/proper-hoa-management-0875-91347063/complaints</v>
      </c>
      <c r="N276" s="51" t="s">
        <v>117</v>
      </c>
      <c r="O276" s="51" t="s">
        <v>118</v>
      </c>
      <c r="P276" s="50" t="s">
        <v>119</v>
      </c>
      <c r="Q276" s="50" t="s">
        <v>23</v>
      </c>
    </row>
    <row r="277" spans="1:17" ht="179.75" customHeight="1" x14ac:dyDescent="0.35">
      <c r="A277" s="50" t="s">
        <v>3082</v>
      </c>
      <c r="B277" s="50" t="s">
        <v>107</v>
      </c>
      <c r="C277" s="51" t="s">
        <v>108</v>
      </c>
      <c r="D277" s="51" t="s">
        <v>135</v>
      </c>
      <c r="E277" s="50" t="s">
        <v>161</v>
      </c>
      <c r="F277" s="51" t="s">
        <v>111</v>
      </c>
      <c r="G277" s="50" t="s">
        <v>3083</v>
      </c>
      <c r="H277" s="51" t="s">
        <v>3084</v>
      </c>
      <c r="I277" s="51" t="s">
        <v>3085</v>
      </c>
      <c r="J277" s="51" t="s">
        <v>3086</v>
      </c>
      <c r="K277" s="51" t="s">
        <v>115</v>
      </c>
      <c r="L277" s="51" t="s">
        <v>3087</v>
      </c>
      <c r="M277" s="52" t="str">
        <f>HYPERLINK("https://www.reddit.com/r/HOA/comments/18myuid/recourse_or_escalation_for_nonresponsive_hoa/","https://www.reddit.com/r/HOA/comments/18myuid/recourse_or_escalation_for_nonresponsive_hoa/")</f>
        <v>https://www.reddit.com/r/HOA/comments/18myuid/recourse_or_escalation_for_nonresponsive_hoa/</v>
      </c>
      <c r="N277" s="51" t="s">
        <v>117</v>
      </c>
      <c r="O277" s="51" t="s">
        <v>118</v>
      </c>
      <c r="P277" s="50" t="s">
        <v>119</v>
      </c>
      <c r="Q277" s="50" t="s">
        <v>23</v>
      </c>
    </row>
    <row r="278" spans="1:17" ht="179.75" customHeight="1" x14ac:dyDescent="0.35">
      <c r="A278" s="50" t="s">
        <v>3088</v>
      </c>
      <c r="B278" s="50" t="s">
        <v>107</v>
      </c>
      <c r="C278" s="51" t="s">
        <v>108</v>
      </c>
      <c r="D278" s="51" t="s">
        <v>705</v>
      </c>
      <c r="E278" s="50" t="s">
        <v>3077</v>
      </c>
      <c r="F278" s="51" t="s">
        <v>111</v>
      </c>
      <c r="G278" s="50" t="s">
        <v>3089</v>
      </c>
      <c r="H278" s="51" t="s">
        <v>3090</v>
      </c>
      <c r="I278" s="51" t="s">
        <v>3091</v>
      </c>
      <c r="J278" s="51" t="s">
        <v>3092</v>
      </c>
      <c r="K278" s="51" t="s">
        <v>115</v>
      </c>
      <c r="L278" s="51" t="s">
        <v>3093</v>
      </c>
      <c r="M278" s="52" t="str">
        <f>HYPERLINK("https://www.reddit.com/r/HOA/comments/1cmdhrw/cocondo_25k_special_assessment_for_roof/","https://www.reddit.com/r/HOA/comments/1cmdhrw/cocondo_25k_special_assessment_for_roof/")</f>
        <v>https://www.reddit.com/r/HOA/comments/1cmdhrw/cocondo_25k_special_assessment_for_roof/</v>
      </c>
      <c r="N278" s="51" t="s">
        <v>117</v>
      </c>
      <c r="O278" s="51" t="s">
        <v>118</v>
      </c>
      <c r="P278" s="50" t="s">
        <v>119</v>
      </c>
      <c r="Q278" s="50" t="s">
        <v>23</v>
      </c>
    </row>
    <row r="279" spans="1:17" ht="179.75" customHeight="1" x14ac:dyDescent="0.35">
      <c r="A279" s="50" t="s">
        <v>3094</v>
      </c>
      <c r="B279" s="50" t="s">
        <v>107</v>
      </c>
      <c r="C279" s="51" t="s">
        <v>108</v>
      </c>
      <c r="D279" s="51" t="s">
        <v>195</v>
      </c>
      <c r="E279" s="50" t="s">
        <v>161</v>
      </c>
      <c r="F279" s="51" t="s">
        <v>111</v>
      </c>
      <c r="G279" s="50" t="s">
        <v>3095</v>
      </c>
      <c r="H279" s="51" t="s">
        <v>3096</v>
      </c>
      <c r="I279" s="51" t="s">
        <v>3097</v>
      </c>
      <c r="J279" s="51" t="s">
        <v>3098</v>
      </c>
      <c r="K279" s="51" t="s">
        <v>115</v>
      </c>
      <c r="L279" s="51" t="s">
        <v>3099</v>
      </c>
      <c r="M279" s="52" t="str">
        <f>HYPERLINK("https://www.reddit.com/r/HOA/comments/1edxu48/ca_condo_astronomical_special_assessment_what/","https://www.reddit.com/r/HOA/comments/1edxu48/ca_condo_astronomical_special_assessment_what/")</f>
        <v>https://www.reddit.com/r/HOA/comments/1edxu48/ca_condo_astronomical_special_assessment_what/</v>
      </c>
      <c r="N279" s="51" t="s">
        <v>117</v>
      </c>
      <c r="O279" s="51" t="s">
        <v>118</v>
      </c>
      <c r="P279" s="50" t="s">
        <v>119</v>
      </c>
      <c r="Q279" s="50" t="s">
        <v>23</v>
      </c>
    </row>
    <row r="280" spans="1:17" ht="179.75" customHeight="1" x14ac:dyDescent="0.35">
      <c r="A280" s="50" t="s">
        <v>3100</v>
      </c>
      <c r="B280" s="50" t="s">
        <v>107</v>
      </c>
      <c r="C280" s="51" t="s">
        <v>108</v>
      </c>
      <c r="D280" s="51" t="s">
        <v>1486</v>
      </c>
      <c r="E280" s="50" t="s">
        <v>3101</v>
      </c>
      <c r="F280" s="51" t="s">
        <v>111</v>
      </c>
      <c r="G280" s="50" t="s">
        <v>3102</v>
      </c>
      <c r="H280" s="51" t="s">
        <v>3103</v>
      </c>
      <c r="I280" s="51" t="s">
        <v>3104</v>
      </c>
      <c r="J280" s="51" t="s">
        <v>3105</v>
      </c>
      <c r="K280" s="51" t="s">
        <v>115</v>
      </c>
      <c r="L280" s="51" t="s">
        <v>3106</v>
      </c>
      <c r="M280" s="52" t="str">
        <f>HYPERLINK("https://www.reddit.com/r/HOA/comments/1hoxlln/micondo_hoa_management_company_sent_out_a_highly/","https://www.reddit.com/r/HOA/comments/1hoxlln/micondo_hoa_management_company_sent_out_a_highly/")</f>
        <v>https://www.reddit.com/r/HOA/comments/1hoxlln/micondo_hoa_management_company_sent_out_a_highly/</v>
      </c>
      <c r="N280" s="51" t="s">
        <v>117</v>
      </c>
      <c r="O280" s="51" t="s">
        <v>118</v>
      </c>
      <c r="P280" s="50" t="s">
        <v>119</v>
      </c>
      <c r="Q280" s="50" t="s">
        <v>23</v>
      </c>
    </row>
    <row r="281" spans="1:17" ht="179.75" customHeight="1" x14ac:dyDescent="0.35">
      <c r="A281" s="50" t="s">
        <v>3107</v>
      </c>
      <c r="B281" s="50" t="s">
        <v>107</v>
      </c>
      <c r="C281" s="51" t="s">
        <v>108</v>
      </c>
      <c r="D281" s="51" t="s">
        <v>402</v>
      </c>
      <c r="E281" s="50" t="s">
        <v>3108</v>
      </c>
      <c r="F281" s="51" t="s">
        <v>111</v>
      </c>
      <c r="G281" s="50" t="s">
        <v>3109</v>
      </c>
      <c r="H281" s="51" t="s">
        <v>3110</v>
      </c>
      <c r="I281" s="51" t="s">
        <v>3111</v>
      </c>
      <c r="J281" s="51" t="s">
        <v>3112</v>
      </c>
      <c r="K281" s="51" t="s">
        <v>115</v>
      </c>
      <c r="L281" s="51" t="s">
        <v>3113</v>
      </c>
      <c r="M281" s="52" t="str">
        <f>HYPERLINK("https://www.reddit.com/r/legaladvice/comments/1uoloy4/help_how_to_legally_fight_my_hoa_for/","https://www.reddit.com/r/legaladvice/comments/1uoloy4/help_how_to_legally_fight_my_hoa_for/")</f>
        <v>https://www.reddit.com/r/legaladvice/comments/1uoloy4/help_how_to_legally_fight_my_hoa_for/</v>
      </c>
      <c r="N281" s="51" t="s">
        <v>117</v>
      </c>
      <c r="O281" s="51" t="s">
        <v>118</v>
      </c>
      <c r="P281" s="50" t="s">
        <v>119</v>
      </c>
      <c r="Q281" s="50" t="s">
        <v>23</v>
      </c>
    </row>
    <row r="282" spans="1:17" ht="179.75" customHeight="1" x14ac:dyDescent="0.35">
      <c r="A282" s="50" t="s">
        <v>3114</v>
      </c>
      <c r="B282" s="50" t="s">
        <v>107</v>
      </c>
      <c r="C282" s="51" t="s">
        <v>3115</v>
      </c>
      <c r="D282" s="51" t="s">
        <v>161</v>
      </c>
      <c r="E282" s="50"/>
      <c r="F282" s="51"/>
      <c r="G282" s="50" t="s">
        <v>3116</v>
      </c>
      <c r="H282" s="51" t="s">
        <v>3117</v>
      </c>
      <c r="I282" s="51" t="s">
        <v>3118</v>
      </c>
      <c r="J282" s="51" t="s">
        <v>3119</v>
      </c>
      <c r="K282" s="51" t="s">
        <v>3120</v>
      </c>
      <c r="L282" s="51" t="s">
        <v>3121</v>
      </c>
      <c r="M282" s="52" t="str">
        <f>HYPERLINK("https://www.hoamanagement.com/ask-an-hoa-manager/additional-10-fee-not-in-hoa-management-contract/","https://www.hoamanagement.com/ask-an-hoa-manager/additional-10-fee-not-in-hoa-management-contract/")</f>
        <v>https://www.hoamanagement.com/ask-an-hoa-manager/additional-10-fee-not-in-hoa-management-contract/</v>
      </c>
      <c r="N282" s="51" t="s">
        <v>3122</v>
      </c>
      <c r="O282" s="51" t="s">
        <v>3123</v>
      </c>
      <c r="P282" s="50" t="s">
        <v>119</v>
      </c>
      <c r="Q282" s="50" t="s">
        <v>23</v>
      </c>
    </row>
    <row r="283" spans="1:17" ht="179.75" customHeight="1" x14ac:dyDescent="0.35">
      <c r="A283" s="50" t="s">
        <v>3124</v>
      </c>
      <c r="B283" s="50" t="s">
        <v>107</v>
      </c>
      <c r="C283" s="51" t="s">
        <v>3125</v>
      </c>
      <c r="D283" s="51" t="s">
        <v>195</v>
      </c>
      <c r="E283" s="50" t="s">
        <v>3126</v>
      </c>
      <c r="F283" s="51" t="s">
        <v>3127</v>
      </c>
      <c r="G283" s="50" t="s">
        <v>3128</v>
      </c>
      <c r="H283" s="51" t="s">
        <v>3129</v>
      </c>
      <c r="I283" s="51" t="s">
        <v>3130</v>
      </c>
      <c r="J283" s="51" t="s">
        <v>3131</v>
      </c>
      <c r="K283" s="51" t="s">
        <v>3132</v>
      </c>
      <c r="L283" s="51" t="s">
        <v>3133</v>
      </c>
      <c r="M283" s="52" t="str">
        <f>HYPERLINK("https://www.latimes.com/business/la-fi-associations-maintenance-company-20170405-story.html","https://www.latimes.com/business/la-fi-associations-maintenance-company-20170405-story.html")</f>
        <v>https://www.latimes.com/business/la-fi-associations-maintenance-company-20170405-story.html</v>
      </c>
      <c r="N283" s="51" t="s">
        <v>204</v>
      </c>
      <c r="O283" s="51" t="s">
        <v>3134</v>
      </c>
      <c r="P283" s="50" t="s">
        <v>119</v>
      </c>
      <c r="Q283" s="50" t="s">
        <v>23</v>
      </c>
    </row>
    <row r="284" spans="1:17" ht="179.75" customHeight="1" x14ac:dyDescent="0.35">
      <c r="A284" s="50" t="s">
        <v>3135</v>
      </c>
      <c r="B284" s="50" t="s">
        <v>107</v>
      </c>
      <c r="C284" s="51" t="s">
        <v>3136</v>
      </c>
      <c r="D284" s="51" t="s">
        <v>135</v>
      </c>
      <c r="E284" s="50" t="s">
        <v>3137</v>
      </c>
      <c r="F284" s="51" t="s">
        <v>3138</v>
      </c>
      <c r="G284" s="50" t="s">
        <v>3139</v>
      </c>
      <c r="H284" s="51" t="s">
        <v>3140</v>
      </c>
      <c r="I284" s="51" t="s">
        <v>3141</v>
      </c>
      <c r="J284" s="51" t="s">
        <v>3131</v>
      </c>
      <c r="K284" s="51" t="s">
        <v>3142</v>
      </c>
      <c r="L284" s="51" t="s">
        <v>3143</v>
      </c>
      <c r="M284" s="52" t="str">
        <f>HYPERLINK("https://www.condoassociation.com/blog/developer-controls-florida-hoa-that-awards-inflated-contracts","https://www.condoassociation.com/blog/developer-controls-florida-hoa-that-awards-inflated-contracts")</f>
        <v>https://www.condoassociation.com/blog/developer-controls-florida-hoa-that-awards-inflated-contracts</v>
      </c>
      <c r="N284" s="51" t="s">
        <v>204</v>
      </c>
      <c r="O284" s="51" t="s">
        <v>3144</v>
      </c>
      <c r="P284" s="50" t="s">
        <v>119</v>
      </c>
      <c r="Q284" s="50" t="s">
        <v>23</v>
      </c>
    </row>
    <row r="285" spans="1:17" ht="179.75" customHeight="1" x14ac:dyDescent="0.35">
      <c r="A285" s="50" t="s">
        <v>3145</v>
      </c>
      <c r="B285" s="50" t="s">
        <v>107</v>
      </c>
      <c r="C285" s="51" t="s">
        <v>3146</v>
      </c>
      <c r="D285" s="51" t="s">
        <v>161</v>
      </c>
      <c r="E285" s="50" t="s">
        <v>3147</v>
      </c>
      <c r="F285" s="51" t="s">
        <v>3148</v>
      </c>
      <c r="G285" s="50" t="s">
        <v>3149</v>
      </c>
      <c r="H285" s="51" t="s">
        <v>3150</v>
      </c>
      <c r="I285" s="51" t="s">
        <v>3151</v>
      </c>
      <c r="J285" s="51" t="s">
        <v>3152</v>
      </c>
      <c r="K285" s="51" t="s">
        <v>3153</v>
      </c>
      <c r="L285" s="51" t="s">
        <v>3154</v>
      </c>
      <c r="M285" s="52" t="str">
        <f>HYPERLINK("https://www.reddit.com/r/fuckHOA/comments/1doxtzb","https://www.reddit.com/r/fuckHOA/comments/1doxtzb")</f>
        <v>https://www.reddit.com/r/fuckHOA/comments/1doxtzb</v>
      </c>
      <c r="N285" s="51" t="s">
        <v>179</v>
      </c>
      <c r="O285" s="51" t="s">
        <v>3155</v>
      </c>
      <c r="P285" s="50" t="s">
        <v>119</v>
      </c>
      <c r="Q285" s="50" t="s">
        <v>23</v>
      </c>
    </row>
    <row r="286" spans="1:17" ht="179.75" customHeight="1" x14ac:dyDescent="0.35">
      <c r="A286" s="50" t="s">
        <v>3156</v>
      </c>
      <c r="B286" s="50" t="s">
        <v>107</v>
      </c>
      <c r="C286" s="51" t="s">
        <v>3157</v>
      </c>
      <c r="D286" s="51" t="s">
        <v>122</v>
      </c>
      <c r="E286" s="50" t="s">
        <v>3158</v>
      </c>
      <c r="F286" s="51" t="s">
        <v>3159</v>
      </c>
      <c r="G286" s="50" t="s">
        <v>3160</v>
      </c>
      <c r="H286" s="51" t="s">
        <v>3161</v>
      </c>
      <c r="I286" s="51" t="s">
        <v>3162</v>
      </c>
      <c r="J286" s="51" t="s">
        <v>3163</v>
      </c>
      <c r="K286" s="51" t="s">
        <v>3164</v>
      </c>
      <c r="L286" s="51" t="s">
        <v>3165</v>
      </c>
      <c r="M286" s="52" t="str">
        <f>HYPERLINK("https://hoatalk.com/topics/275455/observer-for-assessment-voting-in-texas","https://hoatalk.com/topics/275455/observer-for-assessment-voting-in-texas")</f>
        <v>https://hoatalk.com/topics/275455/observer-for-assessment-voting-in-texas</v>
      </c>
      <c r="N286" s="51" t="s">
        <v>169</v>
      </c>
      <c r="O286" s="51" t="s">
        <v>3166</v>
      </c>
      <c r="P286" s="50" t="s">
        <v>119</v>
      </c>
      <c r="Q286" s="50" t="s">
        <v>23</v>
      </c>
    </row>
    <row r="287" spans="1:17" ht="179.75" customHeight="1" x14ac:dyDescent="0.35">
      <c r="A287" s="50" t="s">
        <v>3167</v>
      </c>
      <c r="B287" s="50" t="s">
        <v>107</v>
      </c>
      <c r="C287" s="51" t="s">
        <v>3168</v>
      </c>
      <c r="D287" s="51" t="s">
        <v>1690</v>
      </c>
      <c r="E287" s="50" t="s">
        <v>3169</v>
      </c>
      <c r="F287" s="51" t="s">
        <v>3170</v>
      </c>
      <c r="G287" s="50" t="s">
        <v>3171</v>
      </c>
      <c r="H287" s="51" t="s">
        <v>3172</v>
      </c>
      <c r="I287" s="51" t="s">
        <v>3173</v>
      </c>
      <c r="J287" s="51" t="s">
        <v>3174</v>
      </c>
      <c r="K287" s="51" t="s">
        <v>3175</v>
      </c>
      <c r="L287" s="51" t="s">
        <v>3176</v>
      </c>
      <c r="M287" s="52" t="str">
        <f>HYPERLINK("https://civilbeat.org/2023/10/this-waianae-condo-development-has-lost-hundreds-of-thousands-of-dollars-to-embezzlement/","https://civilbeat.org/2023/10/this-waianae-condo-development-has-lost-hundreds-of-thousands-of-dollars-to-embezzlement/")</f>
        <v>https://civilbeat.org/2023/10/this-waianae-condo-development-has-lost-hundreds-of-thousands-of-dollars-to-embezzlement/</v>
      </c>
      <c r="N287" s="51" t="s">
        <v>144</v>
      </c>
      <c r="O287" s="51" t="s">
        <v>3177</v>
      </c>
      <c r="P287" s="50" t="s">
        <v>119</v>
      </c>
      <c r="Q287" s="50" t="s">
        <v>23</v>
      </c>
    </row>
    <row r="288" spans="1:17" ht="179.75" customHeight="1" x14ac:dyDescent="0.35">
      <c r="A288" s="50" t="s">
        <v>3178</v>
      </c>
      <c r="B288" s="50" t="s">
        <v>107</v>
      </c>
      <c r="C288" s="51" t="s">
        <v>107</v>
      </c>
      <c r="D288" s="51" t="s">
        <v>161</v>
      </c>
      <c r="E288" s="50" t="s">
        <v>3179</v>
      </c>
      <c r="F288" s="51" t="s">
        <v>209</v>
      </c>
      <c r="G288" s="50" t="s">
        <v>3180</v>
      </c>
      <c r="H288" s="51" t="s">
        <v>3181</v>
      </c>
      <c r="I288" s="51" t="s">
        <v>3182</v>
      </c>
      <c r="J288" s="51" t="s">
        <v>3183</v>
      </c>
      <c r="K288" s="51" t="s">
        <v>129</v>
      </c>
      <c r="L288" s="51" t="s">
        <v>3184</v>
      </c>
      <c r="M288" s="52" t="str">
        <f>HYPERLINK("https://www.reddit.com/r/fuckHOA/comments/guybs8","https://www.reddit.com/r/fuckHOA/comments/guybs8")</f>
        <v>https://www.reddit.com/r/fuckHOA/comments/guybs8</v>
      </c>
      <c r="N288" s="51" t="s">
        <v>169</v>
      </c>
      <c r="O288" s="51" t="s">
        <v>3185</v>
      </c>
      <c r="P288" s="50" t="s">
        <v>119</v>
      </c>
      <c r="Q288" s="50" t="s">
        <v>23</v>
      </c>
    </row>
    <row r="289" spans="1:17" ht="179.75" customHeight="1" x14ac:dyDescent="0.35">
      <c r="A289" s="50" t="s">
        <v>3186</v>
      </c>
      <c r="B289" s="50" t="s">
        <v>107</v>
      </c>
      <c r="C289" s="51" t="s">
        <v>107</v>
      </c>
      <c r="D289" s="51" t="s">
        <v>161</v>
      </c>
      <c r="E289" s="50" t="s">
        <v>3187</v>
      </c>
      <c r="F289" s="51" t="s">
        <v>3188</v>
      </c>
      <c r="G289" s="50" t="s">
        <v>3189</v>
      </c>
      <c r="H289" s="51" t="s">
        <v>3190</v>
      </c>
      <c r="I289" s="51" t="s">
        <v>3191</v>
      </c>
      <c r="J289" s="51" t="s">
        <v>3192</v>
      </c>
      <c r="K289" s="51" t="s">
        <v>129</v>
      </c>
      <c r="L289" s="51" t="s">
        <v>3193</v>
      </c>
      <c r="M289" s="52" t="str">
        <f>HYPERLINK("https://www.reddit.com/r/fuckHOA/comments/qxox84","https://www.reddit.com/r/fuckHOA/comments/qxox84")</f>
        <v>https://www.reddit.com/r/fuckHOA/comments/qxox84</v>
      </c>
      <c r="N289" s="51" t="s">
        <v>204</v>
      </c>
      <c r="O289" s="51" t="s">
        <v>3194</v>
      </c>
      <c r="P289" s="50" t="s">
        <v>119</v>
      </c>
      <c r="Q289" s="50" t="s">
        <v>23</v>
      </c>
    </row>
    <row r="290" spans="1:17" ht="179.75" customHeight="1" x14ac:dyDescent="0.35">
      <c r="A290" s="50" t="s">
        <v>3195</v>
      </c>
      <c r="B290" s="50" t="s">
        <v>107</v>
      </c>
      <c r="C290" s="51" t="s">
        <v>107</v>
      </c>
      <c r="D290" s="51" t="s">
        <v>296</v>
      </c>
      <c r="E290" s="50" t="s">
        <v>3196</v>
      </c>
      <c r="F290" s="51" t="s">
        <v>3197</v>
      </c>
      <c r="G290" s="50" t="s">
        <v>3198</v>
      </c>
      <c r="H290" s="51" t="s">
        <v>3199</v>
      </c>
      <c r="I290" s="51" t="s">
        <v>176</v>
      </c>
      <c r="J290" s="51" t="s">
        <v>3200</v>
      </c>
      <c r="K290" s="51" t="s">
        <v>129</v>
      </c>
      <c r="L290" s="51" t="s">
        <v>3201</v>
      </c>
      <c r="M290" s="52" t="str">
        <f>HYPERLINK("https://www.reddit.com/r/HOA/comments/v2523n","https://www.reddit.com/r/HOA/comments/v2523n")</f>
        <v>https://www.reddit.com/r/HOA/comments/v2523n</v>
      </c>
      <c r="N290" s="51" t="s">
        <v>204</v>
      </c>
      <c r="O290" s="51" t="s">
        <v>3202</v>
      </c>
      <c r="P290" s="50" t="s">
        <v>119</v>
      </c>
      <c r="Q290" s="50" t="s">
        <v>23</v>
      </c>
    </row>
    <row r="291" spans="1:17" ht="179.75" customHeight="1" x14ac:dyDescent="0.35">
      <c r="A291" s="50" t="s">
        <v>3203</v>
      </c>
      <c r="B291" s="50" t="s">
        <v>107</v>
      </c>
      <c r="C291" s="51" t="s">
        <v>107</v>
      </c>
      <c r="D291" s="51" t="s">
        <v>161</v>
      </c>
      <c r="E291" s="50" t="s">
        <v>3204</v>
      </c>
      <c r="F291" s="51" t="s">
        <v>3205</v>
      </c>
      <c r="G291" s="50" t="s">
        <v>3206</v>
      </c>
      <c r="H291" s="51" t="s">
        <v>3207</v>
      </c>
      <c r="I291" s="51" t="s">
        <v>176</v>
      </c>
      <c r="J291" s="51" t="s">
        <v>3208</v>
      </c>
      <c r="K291" s="51" t="s">
        <v>129</v>
      </c>
      <c r="L291" s="51" t="s">
        <v>3209</v>
      </c>
      <c r="M291" s="52" t="str">
        <f>HYPERLINK("https://www.reddit.com/r/HOA/comments/1g7mh3y","https://www.reddit.com/r/HOA/comments/1g7mh3y")</f>
        <v>https://www.reddit.com/r/HOA/comments/1g7mh3y</v>
      </c>
      <c r="N291" s="51" t="s">
        <v>179</v>
      </c>
      <c r="O291" s="51" t="s">
        <v>3210</v>
      </c>
      <c r="P291" s="50" t="s">
        <v>119</v>
      </c>
      <c r="Q291" s="50" t="s">
        <v>23</v>
      </c>
    </row>
    <row r="292" spans="1:17" ht="179.75" customHeight="1" x14ac:dyDescent="0.35">
      <c r="A292" s="50" t="s">
        <v>3211</v>
      </c>
      <c r="B292" s="50" t="s">
        <v>107</v>
      </c>
      <c r="C292" s="51" t="s">
        <v>3212</v>
      </c>
      <c r="D292" s="51" t="s">
        <v>161</v>
      </c>
      <c r="E292" s="50" t="s">
        <v>3213</v>
      </c>
      <c r="F292" s="51" t="s">
        <v>3214</v>
      </c>
      <c r="G292" s="50" t="s">
        <v>3215</v>
      </c>
      <c r="H292" s="51" t="s">
        <v>3216</v>
      </c>
      <c r="I292" s="51" t="s">
        <v>176</v>
      </c>
      <c r="J292" s="51" t="s">
        <v>3217</v>
      </c>
      <c r="K292" s="51" t="s">
        <v>3164</v>
      </c>
      <c r="L292" s="51" t="s">
        <v>3218</v>
      </c>
      <c r="M292" s="52" t="str">
        <f>HYPERLINK("https://hoatalk.com/topics/294168/when-your-property-manager-is-pocketing-funds-and-","https://hoatalk.com/topics/294168/when-your-property-manager-is-pocketing-funds-and-")</f>
        <v>https://hoatalk.com/topics/294168/when-your-property-manager-is-pocketing-funds-and-</v>
      </c>
      <c r="N292" s="51" t="s">
        <v>179</v>
      </c>
      <c r="O292" s="51" t="s">
        <v>3219</v>
      </c>
      <c r="P292" s="50" t="s">
        <v>119</v>
      </c>
      <c r="Q292" s="50" t="s">
        <v>23</v>
      </c>
    </row>
    <row r="293" spans="1:17" ht="179.75" customHeight="1" x14ac:dyDescent="0.35">
      <c r="A293" s="50" t="s">
        <v>3220</v>
      </c>
      <c r="B293" s="50" t="s">
        <v>107</v>
      </c>
      <c r="C293" s="51" t="s">
        <v>3221</v>
      </c>
      <c r="D293" s="51" t="s">
        <v>122</v>
      </c>
      <c r="E293" s="50" t="s">
        <v>3222</v>
      </c>
      <c r="F293" s="51" t="s">
        <v>3148</v>
      </c>
      <c r="G293" s="50" t="s">
        <v>3223</v>
      </c>
      <c r="H293" s="51" t="s">
        <v>3224</v>
      </c>
      <c r="I293" s="51" t="s">
        <v>176</v>
      </c>
      <c r="J293" s="51" t="s">
        <v>3225</v>
      </c>
      <c r="K293" s="51" t="s">
        <v>3226</v>
      </c>
      <c r="L293" s="51" t="s">
        <v>3227</v>
      </c>
      <c r="M293" s="52" t="str">
        <f>HYPERLINK("https://nottinghamcountryhoa.com/f/reasons-we-need-a-forensic-audit","https://nottinghamcountryhoa.com/f/reasons-we-need-a-forensic-audit")</f>
        <v>https://nottinghamcountryhoa.com/f/reasons-we-need-a-forensic-audit</v>
      </c>
      <c r="N293" s="51" t="s">
        <v>179</v>
      </c>
      <c r="O293" s="51" t="s">
        <v>3228</v>
      </c>
      <c r="P293" s="50" t="s">
        <v>119</v>
      </c>
      <c r="Q293" s="50" t="s">
        <v>23</v>
      </c>
    </row>
    <row r="294" spans="1:17" ht="179.75" customHeight="1" x14ac:dyDescent="0.35">
      <c r="A294" s="50" t="s">
        <v>3229</v>
      </c>
      <c r="B294" s="50" t="s">
        <v>107</v>
      </c>
      <c r="C294" s="51" t="s">
        <v>107</v>
      </c>
      <c r="D294" s="51" t="s">
        <v>161</v>
      </c>
      <c r="E294" s="50" t="s">
        <v>3230</v>
      </c>
      <c r="F294" s="51" t="s">
        <v>3231</v>
      </c>
      <c r="G294" s="50" t="s">
        <v>3232</v>
      </c>
      <c r="H294" s="51" t="s">
        <v>3233</v>
      </c>
      <c r="I294" s="51" t="s">
        <v>3234</v>
      </c>
      <c r="J294" s="51" t="s">
        <v>3235</v>
      </c>
      <c r="K294" s="51" t="s">
        <v>129</v>
      </c>
      <c r="L294" s="51" t="s">
        <v>3236</v>
      </c>
      <c r="M294" s="52" t="str">
        <f>HYPERLINK("https://www.reddit.com/r/HOA/comments/1rb0vow/sfh_na_developercontrolled_hoa_pmc_awarding/","https://www.reddit.com/r/HOA/comments/1rb0vow/sfh_na_developercontrolled_hoa_pmc_awarding/")</f>
        <v>https://www.reddit.com/r/HOA/comments/1rb0vow/sfh_na_developercontrolled_hoa_pmc_awarding/</v>
      </c>
      <c r="N294" s="51" t="s">
        <v>169</v>
      </c>
      <c r="O294" s="51" t="s">
        <v>3237</v>
      </c>
      <c r="P294" s="50" t="s">
        <v>119</v>
      </c>
      <c r="Q294" s="50" t="s">
        <v>23</v>
      </c>
    </row>
    <row r="295" spans="1:17" ht="179.75" customHeight="1" x14ac:dyDescent="0.35">
      <c r="A295" s="50" t="s">
        <v>3238</v>
      </c>
      <c r="B295" s="50" t="s">
        <v>107</v>
      </c>
      <c r="C295" s="51" t="s">
        <v>3239</v>
      </c>
      <c r="D295" s="51" t="s">
        <v>3240</v>
      </c>
      <c r="E295" s="50" t="s">
        <v>3241</v>
      </c>
      <c r="F295" s="51" t="s">
        <v>3205</v>
      </c>
      <c r="G295" s="50" t="s">
        <v>3242</v>
      </c>
      <c r="H295" s="51" t="s">
        <v>3243</v>
      </c>
      <c r="I295" s="51" t="s">
        <v>3244</v>
      </c>
      <c r="J295" s="51" t="s">
        <v>3208</v>
      </c>
      <c r="K295" s="51" t="s">
        <v>129</v>
      </c>
      <c r="L295" s="51" t="s">
        <v>3245</v>
      </c>
      <c r="M295" s="52" t="str">
        <f>HYPERLINK("https://www.reddit.com/r/fuckHOA/comments/ew2ou7","https://www.reddit.com/r/fuckHOA/comments/ew2ou7")</f>
        <v>https://www.reddit.com/r/fuckHOA/comments/ew2ou7</v>
      </c>
      <c r="N295" s="51" t="s">
        <v>179</v>
      </c>
      <c r="O295" s="51" t="s">
        <v>3246</v>
      </c>
      <c r="P295" s="50" t="s">
        <v>119</v>
      </c>
      <c r="Q295" s="50" t="s">
        <v>23</v>
      </c>
    </row>
    <row r="296" spans="1:17" ht="179.75" customHeight="1" x14ac:dyDescent="0.35">
      <c r="A296" s="50" t="s">
        <v>3247</v>
      </c>
      <c r="B296" s="50" t="s">
        <v>107</v>
      </c>
      <c r="C296" s="51" t="s">
        <v>3125</v>
      </c>
      <c r="D296" s="51" t="s">
        <v>161</v>
      </c>
      <c r="E296" s="50" t="s">
        <v>3248</v>
      </c>
      <c r="F296" s="51" t="s">
        <v>173</v>
      </c>
      <c r="G296" s="50" t="s">
        <v>3249</v>
      </c>
      <c r="H296" s="51" t="s">
        <v>3250</v>
      </c>
      <c r="I296" s="51" t="s">
        <v>3251</v>
      </c>
      <c r="J296" s="51" t="s">
        <v>3252</v>
      </c>
      <c r="K296" s="51" t="s">
        <v>3164</v>
      </c>
      <c r="L296" s="51" t="s">
        <v>3253</v>
      </c>
      <c r="M296" s="52" t="str">
        <f>HYPERLINK("https://hoatalk.com/topics/297758/vendor-contracts-negotiated-by-property-manager-ha","https://hoatalk.com/topics/297758/vendor-contracts-negotiated-by-property-manager-ha")</f>
        <v>https://hoatalk.com/topics/297758/vendor-contracts-negotiated-by-property-manager-ha</v>
      </c>
      <c r="N296" s="51" t="s">
        <v>169</v>
      </c>
      <c r="O296" s="51" t="s">
        <v>3254</v>
      </c>
      <c r="P296" s="50" t="s">
        <v>119</v>
      </c>
      <c r="Q296" s="50" t="s">
        <v>23</v>
      </c>
    </row>
    <row r="297" spans="1:17" ht="179.75" customHeight="1" x14ac:dyDescent="0.35">
      <c r="A297" s="50" t="s">
        <v>3255</v>
      </c>
      <c r="B297" s="50" t="s">
        <v>107</v>
      </c>
      <c r="C297" s="51" t="s">
        <v>107</v>
      </c>
      <c r="D297" s="51" t="s">
        <v>135</v>
      </c>
      <c r="E297" s="50" t="s">
        <v>3256</v>
      </c>
      <c r="F297" s="51" t="s">
        <v>3257</v>
      </c>
      <c r="G297" s="50" t="s">
        <v>3258</v>
      </c>
      <c r="H297" s="51" t="s">
        <v>3259</v>
      </c>
      <c r="I297" s="51" t="s">
        <v>176</v>
      </c>
      <c r="J297" s="51" t="s">
        <v>3260</v>
      </c>
      <c r="K297" s="51" t="s">
        <v>3261</v>
      </c>
      <c r="L297" s="51" t="s">
        <v>3262</v>
      </c>
      <c r="M297" s="52" t="str">
        <f>HYPERLINK("https://www.reddit.com/r/legaladvice/comments/1b1wb7n","https://www.reddit.com/r/legaladvice/comments/1b1wb7n")</f>
        <v>https://www.reddit.com/r/legaladvice/comments/1b1wb7n</v>
      </c>
      <c r="N297" s="51" t="s">
        <v>204</v>
      </c>
      <c r="O297" s="51" t="s">
        <v>3263</v>
      </c>
      <c r="P297" s="50" t="s">
        <v>119</v>
      </c>
      <c r="Q297" s="50" t="s">
        <v>23</v>
      </c>
    </row>
    <row r="298" spans="1:17" ht="179.75" customHeight="1" x14ac:dyDescent="0.35">
      <c r="A298" s="50" t="s">
        <v>3264</v>
      </c>
      <c r="B298" s="50" t="s">
        <v>107</v>
      </c>
      <c r="C298" s="51" t="s">
        <v>3265</v>
      </c>
      <c r="D298" s="51" t="s">
        <v>161</v>
      </c>
      <c r="E298" s="50" t="s">
        <v>3266</v>
      </c>
      <c r="F298" s="51" t="s">
        <v>3267</v>
      </c>
      <c r="G298" s="50" t="s">
        <v>3268</v>
      </c>
      <c r="H298" s="51" t="s">
        <v>3269</v>
      </c>
      <c r="I298" s="51" t="s">
        <v>3270</v>
      </c>
      <c r="J298" s="51" t="s">
        <v>3271</v>
      </c>
      <c r="K298" s="51" t="s">
        <v>129</v>
      </c>
      <c r="L298" s="51" t="s">
        <v>3272</v>
      </c>
      <c r="M298" s="52" t="str">
        <f>HYPERLINK("https://www.reddit.com/r/fuckHOA/comments/1s1n2d6/buckle_up/","https://www.reddit.com/r/fuckHOA/comments/1s1n2d6/buckle_up/")</f>
        <v>https://www.reddit.com/r/fuckHOA/comments/1s1n2d6/buckle_up/</v>
      </c>
      <c r="N298" s="51" t="s">
        <v>169</v>
      </c>
      <c r="O298" s="51" t="s">
        <v>3273</v>
      </c>
      <c r="P298" s="50" t="s">
        <v>119</v>
      </c>
      <c r="Q298" s="50" t="s">
        <v>23</v>
      </c>
    </row>
    <row r="299" spans="1:17" ht="179.75" customHeight="1" x14ac:dyDescent="0.35">
      <c r="A299" s="50" t="s">
        <v>3274</v>
      </c>
      <c r="B299" s="50" t="s">
        <v>107</v>
      </c>
      <c r="C299" s="51" t="s">
        <v>3275</v>
      </c>
      <c r="D299" s="51" t="s">
        <v>1560</v>
      </c>
      <c r="E299" s="50" t="s">
        <v>3276</v>
      </c>
      <c r="F299" s="51" t="s">
        <v>3277</v>
      </c>
      <c r="G299" s="50" t="s">
        <v>3278</v>
      </c>
      <c r="H299" s="51" t="s">
        <v>3279</v>
      </c>
      <c r="I299" s="51" t="s">
        <v>3280</v>
      </c>
      <c r="J299" s="51" t="s">
        <v>3281</v>
      </c>
      <c r="K299" s="51" t="s">
        <v>129</v>
      </c>
      <c r="L299" s="51" t="s">
        <v>3282</v>
      </c>
      <c r="M299" s="52" t="str">
        <f>HYPERLINK("https://www.reddit.com/r/HOA/comments/1hq0jkj","https://www.reddit.com/r/HOA/comments/1hq0jkj")</f>
        <v>https://www.reddit.com/r/HOA/comments/1hq0jkj</v>
      </c>
      <c r="N299" s="51" t="s">
        <v>179</v>
      </c>
      <c r="O299" s="51" t="s">
        <v>3283</v>
      </c>
      <c r="P299" s="50" t="s">
        <v>119</v>
      </c>
      <c r="Q299" s="50" t="s">
        <v>23</v>
      </c>
    </row>
    <row r="300" spans="1:17" ht="179.75" customHeight="1" x14ac:dyDescent="0.35">
      <c r="A300" s="50" t="s">
        <v>3284</v>
      </c>
      <c r="B300" s="50" t="s">
        <v>107</v>
      </c>
      <c r="C300" s="51" t="s">
        <v>107</v>
      </c>
      <c r="D300" s="51" t="s">
        <v>161</v>
      </c>
      <c r="E300" s="50" t="s">
        <v>3285</v>
      </c>
      <c r="F300" s="51" t="s">
        <v>173</v>
      </c>
      <c r="G300" s="50" t="s">
        <v>3286</v>
      </c>
      <c r="H300" s="51" t="s">
        <v>3287</v>
      </c>
      <c r="I300" s="51" t="s">
        <v>176</v>
      </c>
      <c r="J300" s="51" t="s">
        <v>3288</v>
      </c>
      <c r="K300" s="51" t="s">
        <v>129</v>
      </c>
      <c r="L300" s="51" t="s">
        <v>3289</v>
      </c>
      <c r="M300" s="52" t="str">
        <f>HYPERLINK("https://www.reddit.com/r/fuckHOA/comments/109okoc","https://www.reddit.com/r/fuckHOA/comments/109okoc")</f>
        <v>https://www.reddit.com/r/fuckHOA/comments/109okoc</v>
      </c>
      <c r="N300" s="51" t="s">
        <v>169</v>
      </c>
      <c r="O300" s="51" t="s">
        <v>3290</v>
      </c>
      <c r="P300" s="50" t="s">
        <v>119</v>
      </c>
      <c r="Q300" s="50" t="s">
        <v>23</v>
      </c>
    </row>
    <row r="301" spans="1:17" ht="179.75" customHeight="1" x14ac:dyDescent="0.35">
      <c r="A301" s="50" t="s">
        <v>3291</v>
      </c>
      <c r="B301" s="50" t="s">
        <v>107</v>
      </c>
      <c r="C301" s="51" t="s">
        <v>3292</v>
      </c>
      <c r="D301" s="51" t="s">
        <v>282</v>
      </c>
      <c r="E301" s="50" t="s">
        <v>3293</v>
      </c>
      <c r="F301" s="51" t="s">
        <v>3294</v>
      </c>
      <c r="G301" s="50" t="s">
        <v>3295</v>
      </c>
      <c r="H301" s="51" t="s">
        <v>3296</v>
      </c>
      <c r="I301" s="51" t="s">
        <v>3297</v>
      </c>
      <c r="J301" s="51" t="s">
        <v>3298</v>
      </c>
      <c r="K301" s="51" t="s">
        <v>3261</v>
      </c>
      <c r="L301" s="51" t="s">
        <v>3299</v>
      </c>
      <c r="M301" s="52" t="str">
        <f>HYPERLINK("https://www.reddit.com/r/legaladvice/comments/gwihs1","https://www.reddit.com/r/legaladvice/comments/gwihs1")</f>
        <v>https://www.reddit.com/r/legaladvice/comments/gwihs1</v>
      </c>
      <c r="N301" s="51" t="s">
        <v>169</v>
      </c>
      <c r="O301" s="51" t="s">
        <v>3300</v>
      </c>
      <c r="P301" s="50" t="s">
        <v>119</v>
      </c>
      <c r="Q301" s="50" t="s">
        <v>23</v>
      </c>
    </row>
    <row r="302" spans="1:17" ht="179.75" customHeight="1" x14ac:dyDescent="0.35">
      <c r="A302" s="50" t="s">
        <v>3301</v>
      </c>
      <c r="B302" s="50" t="s">
        <v>218</v>
      </c>
      <c r="C302" s="51" t="s">
        <v>3302</v>
      </c>
      <c r="D302" s="51" t="s">
        <v>195</v>
      </c>
      <c r="E302" s="50" t="s">
        <v>3303</v>
      </c>
      <c r="F302" s="51" t="s">
        <v>3304</v>
      </c>
      <c r="G302" s="50" t="s">
        <v>3305</v>
      </c>
      <c r="H302" s="51" t="s">
        <v>3306</v>
      </c>
      <c r="I302" s="51" t="s">
        <v>176</v>
      </c>
      <c r="J302" s="51" t="s">
        <v>3307</v>
      </c>
      <c r="K302" s="51" t="s">
        <v>3308</v>
      </c>
      <c r="L302" s="51" t="s">
        <v>3309</v>
      </c>
      <c r="M302" s="52" t="str">
        <f>HYPERLINK("https://lscarlsonlaw.com/articles/unmasking-hoa-fraud-dealing-with-self-dealing-board-members","https://lscarlsonlaw.com/articles/unmasking-hoa-fraud-dealing-with-self-dealing-board-members")</f>
        <v>https://lscarlsonlaw.com/articles/unmasking-hoa-fraud-dealing-with-self-dealing-board-members</v>
      </c>
      <c r="N302" s="51" t="s">
        <v>204</v>
      </c>
      <c r="O302" s="51" t="s">
        <v>3310</v>
      </c>
      <c r="P302" s="50" t="s">
        <v>119</v>
      </c>
      <c r="Q302" s="50" t="s">
        <v>23</v>
      </c>
    </row>
    <row r="303" spans="1:17" ht="179.75" customHeight="1" x14ac:dyDescent="0.35">
      <c r="A303" s="50" t="s">
        <v>3311</v>
      </c>
      <c r="B303" s="50" t="s">
        <v>107</v>
      </c>
      <c r="C303" s="51" t="s">
        <v>3312</v>
      </c>
      <c r="D303" s="51" t="s">
        <v>195</v>
      </c>
      <c r="E303" s="50" t="s">
        <v>3313</v>
      </c>
      <c r="F303" s="51" t="s">
        <v>3314</v>
      </c>
      <c r="G303" s="50" t="s">
        <v>3315</v>
      </c>
      <c r="H303" s="51" t="s">
        <v>3316</v>
      </c>
      <c r="I303" s="51" t="s">
        <v>3317</v>
      </c>
      <c r="J303" s="51" t="s">
        <v>3318</v>
      </c>
      <c r="K303" s="51" t="s">
        <v>129</v>
      </c>
      <c r="L303" s="51" t="s">
        <v>3319</v>
      </c>
      <c r="M303" s="52" t="str">
        <f>HYPERLINK("https://www.reddit.com/r/HOA/comments/1ukxd61/what_steps_to_take_when_hoa_president_is/","https://www.reddit.com/r/HOA/comments/1ukxd61/what_steps_to_take_when_hoa_president_is/")</f>
        <v>https://www.reddit.com/r/HOA/comments/1ukxd61/what_steps_to_take_when_hoa_president_is/</v>
      </c>
      <c r="N303" s="51" t="s">
        <v>131</v>
      </c>
      <c r="O303" s="51" t="s">
        <v>3320</v>
      </c>
      <c r="P303" s="50" t="s">
        <v>119</v>
      </c>
      <c r="Q303" s="50" t="s">
        <v>23</v>
      </c>
    </row>
    <row r="304" spans="1:17" ht="179.75" customHeight="1" x14ac:dyDescent="0.35">
      <c r="A304" s="50" t="s">
        <v>3321</v>
      </c>
      <c r="B304" s="50" t="s">
        <v>107</v>
      </c>
      <c r="C304" s="51" t="s">
        <v>3322</v>
      </c>
      <c r="D304" s="51" t="s">
        <v>161</v>
      </c>
      <c r="E304" s="50" t="s">
        <v>3323</v>
      </c>
      <c r="F304" s="51" t="s">
        <v>3324</v>
      </c>
      <c r="G304" s="50" t="s">
        <v>3325</v>
      </c>
      <c r="H304" s="51" t="s">
        <v>3326</v>
      </c>
      <c r="I304" s="51" t="s">
        <v>176</v>
      </c>
      <c r="J304" s="51" t="s">
        <v>3327</v>
      </c>
      <c r="K304" s="51" t="s">
        <v>129</v>
      </c>
      <c r="L304" s="51" t="s">
        <v>3328</v>
      </c>
      <c r="M304" s="52" t="str">
        <f>HYPERLINK("https://www.reddit.com/r/HOA/comments/wm4k7a","https://www.reddit.com/r/HOA/comments/wm4k7a")</f>
        <v>https://www.reddit.com/r/HOA/comments/wm4k7a</v>
      </c>
      <c r="N304" s="51" t="s">
        <v>179</v>
      </c>
      <c r="O304" s="51" t="s">
        <v>3329</v>
      </c>
      <c r="P304" s="50" t="s">
        <v>119</v>
      </c>
      <c r="Q304" s="50" t="s">
        <v>23</v>
      </c>
    </row>
    <row r="305" spans="1:17" ht="179.75" customHeight="1" x14ac:dyDescent="0.35">
      <c r="A305" s="50" t="s">
        <v>3330</v>
      </c>
      <c r="B305" s="50" t="s">
        <v>107</v>
      </c>
      <c r="C305" s="51" t="s">
        <v>107</v>
      </c>
      <c r="D305" s="51" t="s">
        <v>3331</v>
      </c>
      <c r="E305" s="50" t="s">
        <v>3332</v>
      </c>
      <c r="F305" s="51" t="s">
        <v>209</v>
      </c>
      <c r="G305" s="50" t="s">
        <v>3333</v>
      </c>
      <c r="H305" s="51" t="s">
        <v>3334</v>
      </c>
      <c r="I305" s="51" t="s">
        <v>3335</v>
      </c>
      <c r="J305" s="51" t="s">
        <v>3336</v>
      </c>
      <c r="K305" s="51" t="s">
        <v>129</v>
      </c>
      <c r="L305" s="51" t="s">
        <v>3337</v>
      </c>
      <c r="M305" s="52" t="str">
        <f>HYPERLINK("https://www.reddit.com/r/boston/comments/1ic49di","https://www.reddit.com/r/boston/comments/1ic49di")</f>
        <v>https://www.reddit.com/r/boston/comments/1ic49di</v>
      </c>
      <c r="N305" s="51" t="s">
        <v>179</v>
      </c>
      <c r="O305" s="51" t="s">
        <v>3338</v>
      </c>
      <c r="P305" s="50" t="s">
        <v>119</v>
      </c>
      <c r="Q305" s="50" t="s">
        <v>23</v>
      </c>
    </row>
    <row r="306" spans="1:17" ht="179.75" customHeight="1" x14ac:dyDescent="0.35">
      <c r="A306" s="50" t="s">
        <v>3339</v>
      </c>
      <c r="B306" s="50" t="s">
        <v>107</v>
      </c>
      <c r="C306" s="51" t="s">
        <v>107</v>
      </c>
      <c r="D306" s="51" t="s">
        <v>195</v>
      </c>
      <c r="E306" s="50" t="s">
        <v>3340</v>
      </c>
      <c r="F306" s="51" t="s">
        <v>3341</v>
      </c>
      <c r="G306" s="50" t="s">
        <v>3342</v>
      </c>
      <c r="H306" s="51" t="s">
        <v>3343</v>
      </c>
      <c r="I306" s="51" t="s">
        <v>176</v>
      </c>
      <c r="J306" s="51" t="s">
        <v>3344</v>
      </c>
      <c r="K306" s="51" t="s">
        <v>129</v>
      </c>
      <c r="L306" s="51" t="s">
        <v>3345</v>
      </c>
      <c r="M306" s="52" t="str">
        <f>HYPERLINK("https://www.reddit.com/r/HOA/comments/1gutexr","https://www.reddit.com/r/HOA/comments/1gutexr")</f>
        <v>https://www.reddit.com/r/HOA/comments/1gutexr</v>
      </c>
      <c r="N306" s="51" t="s">
        <v>204</v>
      </c>
      <c r="O306" s="51" t="s">
        <v>3346</v>
      </c>
      <c r="P306" s="50" t="s">
        <v>119</v>
      </c>
      <c r="Q306" s="50" t="s">
        <v>23</v>
      </c>
    </row>
    <row r="307" spans="1:17" ht="179.75" customHeight="1" x14ac:dyDescent="0.35">
      <c r="A307" s="50" t="s">
        <v>3347</v>
      </c>
      <c r="B307" s="50" t="s">
        <v>107</v>
      </c>
      <c r="C307" s="51" t="s">
        <v>3348</v>
      </c>
      <c r="D307" s="51" t="s">
        <v>705</v>
      </c>
      <c r="E307" s="50" t="s">
        <v>3349</v>
      </c>
      <c r="F307" s="51" t="s">
        <v>3350</v>
      </c>
      <c r="G307" s="50" t="s">
        <v>3351</v>
      </c>
      <c r="H307" s="51" t="s">
        <v>3352</v>
      </c>
      <c r="I307" s="51" t="s">
        <v>3353</v>
      </c>
      <c r="J307" s="51" t="s">
        <v>3354</v>
      </c>
      <c r="K307" s="51" t="s">
        <v>129</v>
      </c>
      <c r="L307" s="51" t="s">
        <v>3355</v>
      </c>
      <c r="M307" s="52" t="str">
        <f>HYPERLINK("https://www.reddit.com/r/HOA/comments/1suvtei/th_co_found_out_hoa_president_is_paying_himself/","https://www.reddit.com/r/HOA/comments/1suvtei/th_co_found_out_hoa_president_is_paying_himself/")</f>
        <v>https://www.reddit.com/r/HOA/comments/1suvtei/th_co_found_out_hoa_president_is_paying_himself/</v>
      </c>
      <c r="N307" s="51" t="s">
        <v>131</v>
      </c>
      <c r="O307" s="51" t="s">
        <v>3356</v>
      </c>
      <c r="P307" s="50" t="s">
        <v>119</v>
      </c>
      <c r="Q307" s="50" t="s">
        <v>23</v>
      </c>
    </row>
    <row r="308" spans="1:17" ht="179.75" customHeight="1" x14ac:dyDescent="0.35">
      <c r="A308" s="50" t="s">
        <v>3357</v>
      </c>
      <c r="B308" s="50" t="s">
        <v>107</v>
      </c>
      <c r="C308" s="51" t="s">
        <v>3358</v>
      </c>
      <c r="D308" s="51" t="s">
        <v>161</v>
      </c>
      <c r="E308" s="50" t="s">
        <v>3359</v>
      </c>
      <c r="F308" s="51" t="s">
        <v>3360</v>
      </c>
      <c r="G308" s="50" t="s">
        <v>3361</v>
      </c>
      <c r="H308" s="51" t="s">
        <v>3362</v>
      </c>
      <c r="I308" s="51" t="s">
        <v>3363</v>
      </c>
      <c r="J308" s="51" t="s">
        <v>3364</v>
      </c>
      <c r="K308" s="51" t="s">
        <v>3365</v>
      </c>
      <c r="L308" s="51" t="s">
        <v>3366</v>
      </c>
      <c r="M308" s="52" t="str">
        <f>HYPERLINK("https://www.condoassociation.com/blog/tabid/19257/bid/23017/Board-controls-condo-association-spending-like-a-crime-syndicate.aspx","https://www.condoassociation.com/blog/tabid/19257/bid/23017/Board-controls-condo-association-spending-like-a-crime-syndicate.aspx")</f>
        <v>https://www.condoassociation.com/blog/tabid/19257/bid/23017/Board-controls-condo-association-spending-like-a-crime-syndicate.aspx</v>
      </c>
      <c r="N308" s="51" t="s">
        <v>169</v>
      </c>
      <c r="O308" s="51" t="s">
        <v>3367</v>
      </c>
      <c r="P308" s="50" t="s">
        <v>119</v>
      </c>
      <c r="Q308" s="50" t="s">
        <v>23</v>
      </c>
    </row>
    <row r="309" spans="1:17" ht="179.75" customHeight="1" x14ac:dyDescent="0.35">
      <c r="A309" s="50" t="s">
        <v>3368</v>
      </c>
      <c r="B309" s="50" t="s">
        <v>107</v>
      </c>
      <c r="C309" s="51" t="s">
        <v>3358</v>
      </c>
      <c r="D309" s="51" t="s">
        <v>161</v>
      </c>
      <c r="E309" s="50" t="s">
        <v>3369</v>
      </c>
      <c r="F309" s="51" t="s">
        <v>3370</v>
      </c>
      <c r="G309" s="50" t="s">
        <v>3371</v>
      </c>
      <c r="H309" s="51" t="s">
        <v>3372</v>
      </c>
      <c r="I309" s="51" t="s">
        <v>176</v>
      </c>
      <c r="J309" s="51" t="s">
        <v>3373</v>
      </c>
      <c r="K309" s="51" t="s">
        <v>3365</v>
      </c>
      <c r="L309" s="51" t="s">
        <v>3374</v>
      </c>
      <c r="M309" s="52" t="str">
        <f>HYPERLINK("https://www.condoassociation.com/blog/tabid/19257/bid/53628/Condo-association-board-is-too-cozy-with-vendor-relationships.aspx","https://www.condoassociation.com/blog/tabid/19257/bid/53628/Condo-association-board-is-too-cozy-with-vendor-relationships.aspx")</f>
        <v>https://www.condoassociation.com/blog/tabid/19257/bid/53628/Condo-association-board-is-too-cozy-with-vendor-relationships.aspx</v>
      </c>
      <c r="N309" s="51" t="s">
        <v>204</v>
      </c>
      <c r="O309" s="51" t="s">
        <v>3375</v>
      </c>
      <c r="P309" s="50" t="s">
        <v>119</v>
      </c>
      <c r="Q309" s="50" t="s">
        <v>23</v>
      </c>
    </row>
    <row r="310" spans="1:17" ht="179.75" customHeight="1" x14ac:dyDescent="0.35">
      <c r="A310" s="50" t="s">
        <v>3376</v>
      </c>
      <c r="B310" s="50" t="s">
        <v>107</v>
      </c>
      <c r="C310" s="51" t="s">
        <v>3358</v>
      </c>
      <c r="D310" s="51" t="s">
        <v>161</v>
      </c>
      <c r="E310" s="50" t="s">
        <v>3377</v>
      </c>
      <c r="F310" s="51" t="s">
        <v>3360</v>
      </c>
      <c r="G310" s="50" t="s">
        <v>3378</v>
      </c>
      <c r="H310" s="51" t="s">
        <v>3379</v>
      </c>
      <c r="I310" s="51" t="s">
        <v>3380</v>
      </c>
      <c r="J310" s="51" t="s">
        <v>3381</v>
      </c>
      <c r="K310" s="51" t="s">
        <v>3365</v>
      </c>
      <c r="L310" s="51" t="s">
        <v>3382</v>
      </c>
      <c r="M310" s="52" t="str">
        <f>HYPERLINK("https://www.condoassociation.com/blog/tabid/19257/bid/96466/Condo-association-president-getting-special-favors-from-contractor.aspx","https://www.condoassociation.com/blog/tabid/19257/bid/96466/Condo-association-president-getting-special-favors-from-contractor.aspx")</f>
        <v>https://www.condoassociation.com/blog/tabid/19257/bid/96466/Condo-association-president-getting-special-favors-from-contractor.aspx</v>
      </c>
      <c r="N310" s="51" t="s">
        <v>169</v>
      </c>
      <c r="O310" s="51" t="s">
        <v>3383</v>
      </c>
      <c r="P310" s="50" t="s">
        <v>119</v>
      </c>
      <c r="Q310" s="50" t="s">
        <v>23</v>
      </c>
    </row>
    <row r="311" spans="1:17" ht="179.75" customHeight="1" x14ac:dyDescent="0.35">
      <c r="A311" s="50" t="s">
        <v>3384</v>
      </c>
      <c r="B311" s="50" t="s">
        <v>107</v>
      </c>
      <c r="C311" s="51" t="s">
        <v>3358</v>
      </c>
      <c r="D311" s="51" t="s">
        <v>161</v>
      </c>
      <c r="E311" s="50" t="s">
        <v>3385</v>
      </c>
      <c r="F311" s="51" t="s">
        <v>3370</v>
      </c>
      <c r="G311" s="50" t="s">
        <v>3386</v>
      </c>
      <c r="H311" s="51" t="s">
        <v>3387</v>
      </c>
      <c r="I311" s="51" t="s">
        <v>176</v>
      </c>
      <c r="J311" s="51" t="s">
        <v>3388</v>
      </c>
      <c r="K311" s="51" t="s">
        <v>3365</v>
      </c>
      <c r="L311" s="51" t="s">
        <v>3389</v>
      </c>
      <c r="M311" s="52" t="str">
        <f>HYPERLINK("https://www.condoassociation.com/blog/tabid/19257/bid/100003/Owner-claims-condo-directors-and-manager-committed-fraud.aspx","https://www.condoassociation.com/blog/tabid/19257/bid/100003/Owner-claims-condo-directors-and-manager-committed-fraud.aspx")</f>
        <v>https://www.condoassociation.com/blog/tabid/19257/bid/100003/Owner-claims-condo-directors-and-manager-committed-fraud.aspx</v>
      </c>
      <c r="N311" s="51" t="s">
        <v>179</v>
      </c>
      <c r="O311" s="51" t="s">
        <v>3390</v>
      </c>
      <c r="P311" s="50" t="s">
        <v>119</v>
      </c>
      <c r="Q311" s="50" t="s">
        <v>23</v>
      </c>
    </row>
    <row r="312" spans="1:17" ht="179.75" customHeight="1" x14ac:dyDescent="0.35">
      <c r="A312" s="50" t="s">
        <v>3391</v>
      </c>
      <c r="B312" s="50" t="s">
        <v>107</v>
      </c>
      <c r="C312" s="51" t="s">
        <v>3358</v>
      </c>
      <c r="D312" s="51" t="s">
        <v>161</v>
      </c>
      <c r="E312" s="50" t="s">
        <v>3392</v>
      </c>
      <c r="F312" s="51" t="s">
        <v>3393</v>
      </c>
      <c r="G312" s="50" t="s">
        <v>3394</v>
      </c>
      <c r="H312" s="51" t="s">
        <v>3395</v>
      </c>
      <c r="I312" s="51" t="s">
        <v>3396</v>
      </c>
      <c r="J312" s="51" t="s">
        <v>3397</v>
      </c>
      <c r="K312" s="51" t="s">
        <v>3365</v>
      </c>
      <c r="L312" s="51" t="s">
        <v>3398</v>
      </c>
      <c r="M312" s="52" t="str">
        <f>HYPERLINK("https://www.condoassociation.com/blog/how-to-handle-a-hoa-president-suspected-of-fraud","https://www.condoassociation.com/blog/how-to-handle-a-hoa-president-suspected-of-fraud")</f>
        <v>https://www.condoassociation.com/blog/how-to-handle-a-hoa-president-suspected-of-fraud</v>
      </c>
      <c r="N312" s="51" t="s">
        <v>169</v>
      </c>
      <c r="O312" s="51" t="s">
        <v>3399</v>
      </c>
      <c r="P312" s="50" t="s">
        <v>119</v>
      </c>
      <c r="Q312" s="50" t="s">
        <v>23</v>
      </c>
    </row>
    <row r="313" spans="1:17" ht="179.75" customHeight="1" x14ac:dyDescent="0.35">
      <c r="A313" s="50" t="s">
        <v>3400</v>
      </c>
      <c r="B313" s="50" t="s">
        <v>107</v>
      </c>
      <c r="C313" s="51" t="s">
        <v>3358</v>
      </c>
      <c r="D313" s="51" t="s">
        <v>161</v>
      </c>
      <c r="E313" s="50" t="s">
        <v>3401</v>
      </c>
      <c r="F313" s="51" t="s">
        <v>3402</v>
      </c>
      <c r="G313" s="50" t="s">
        <v>3403</v>
      </c>
      <c r="H313" s="51" t="s">
        <v>3404</v>
      </c>
      <c r="I313" s="51" t="s">
        <v>176</v>
      </c>
      <c r="J313" s="51" t="s">
        <v>3405</v>
      </c>
      <c r="K313" s="51" t="s">
        <v>3365</v>
      </c>
      <c r="L313" s="51" t="s">
        <v>3406</v>
      </c>
      <c r="M313" s="52" t="str">
        <f>HYPERLINK("https://www.condoassociation.com/blog/tabid/19257/bid/31180/Could-property-manager-be-bribing-condo-association-treasurer.aspx","https://www.condoassociation.com/blog/tabid/19257/bid/31180/Could-property-manager-be-bribing-condo-association-treasurer.aspx")</f>
        <v>https://www.condoassociation.com/blog/tabid/19257/bid/31180/Could-property-manager-be-bribing-condo-association-treasurer.aspx</v>
      </c>
      <c r="N313" s="51" t="s">
        <v>179</v>
      </c>
      <c r="O313" s="51" t="s">
        <v>3407</v>
      </c>
      <c r="P313" s="50" t="s">
        <v>119</v>
      </c>
      <c r="Q313" s="50" t="s">
        <v>23</v>
      </c>
    </row>
    <row r="314" spans="1:17" ht="179.75" customHeight="1" x14ac:dyDescent="0.35">
      <c r="A314" s="50" t="s">
        <v>3408</v>
      </c>
      <c r="B314" s="50" t="s">
        <v>107</v>
      </c>
      <c r="C314" s="51" t="s">
        <v>3409</v>
      </c>
      <c r="D314" s="51" t="s">
        <v>135</v>
      </c>
      <c r="E314" s="50" t="s">
        <v>3410</v>
      </c>
      <c r="F314" s="51" t="s">
        <v>3214</v>
      </c>
      <c r="G314" s="50" t="s">
        <v>3411</v>
      </c>
      <c r="H314" s="51" t="s">
        <v>3412</v>
      </c>
      <c r="I314" s="51" t="s">
        <v>3413</v>
      </c>
      <c r="J314" s="51" t="s">
        <v>3414</v>
      </c>
      <c r="K314" s="51" t="s">
        <v>3415</v>
      </c>
      <c r="L314" s="51" t="s">
        <v>3416</v>
      </c>
      <c r="M314" s="52" t="str">
        <f>HYPERLINK("https://www.hoatalk.com/topics/354049/kickbacks-to-property-manager","https://www.hoatalk.com/topics/354049/kickbacks-to-property-manager")</f>
        <v>https://www.hoatalk.com/topics/354049/kickbacks-to-property-manager</v>
      </c>
      <c r="N314" s="51" t="s">
        <v>204</v>
      </c>
      <c r="O314" s="51" t="s">
        <v>3417</v>
      </c>
      <c r="P314" s="50" t="s">
        <v>119</v>
      </c>
      <c r="Q314" s="50" t="s">
        <v>23</v>
      </c>
    </row>
    <row r="315" spans="1:17" ht="179.75" customHeight="1" x14ac:dyDescent="0.35">
      <c r="A315" s="50" t="s">
        <v>3418</v>
      </c>
      <c r="B315" s="50" t="s">
        <v>107</v>
      </c>
      <c r="C315" s="51" t="s">
        <v>3419</v>
      </c>
      <c r="D315" s="51" t="s">
        <v>161</v>
      </c>
      <c r="E315" s="50" t="s">
        <v>3420</v>
      </c>
      <c r="F315" s="51" t="s">
        <v>3421</v>
      </c>
      <c r="G315" s="50" t="s">
        <v>3422</v>
      </c>
      <c r="H315" s="51" t="s">
        <v>3423</v>
      </c>
      <c r="I315" s="51" t="s">
        <v>3424</v>
      </c>
      <c r="J315" s="51" t="s">
        <v>3425</v>
      </c>
      <c r="K315" s="51" t="s">
        <v>129</v>
      </c>
      <c r="L315" s="51" t="s">
        <v>3426</v>
      </c>
      <c r="M315" s="52" t="str">
        <f>HYPERLINK("https://www.reddit.com/r/HOA/comments/h9rpa3","https://www.reddit.com/r/HOA/comments/h9rpa3")</f>
        <v>https://www.reddit.com/r/HOA/comments/h9rpa3</v>
      </c>
      <c r="N315" s="51" t="s">
        <v>169</v>
      </c>
      <c r="O315" s="51" t="s">
        <v>3427</v>
      </c>
      <c r="P315" s="50" t="s">
        <v>119</v>
      </c>
      <c r="Q315" s="50" t="s">
        <v>23</v>
      </c>
    </row>
    <row r="316" spans="1:17" ht="179.75" customHeight="1" x14ac:dyDescent="0.35">
      <c r="A316" s="50" t="s">
        <v>3428</v>
      </c>
      <c r="B316" s="50" t="s">
        <v>107</v>
      </c>
      <c r="C316" s="51" t="s">
        <v>107</v>
      </c>
      <c r="D316" s="51" t="s">
        <v>135</v>
      </c>
      <c r="E316" s="50" t="s">
        <v>3429</v>
      </c>
      <c r="F316" s="51" t="s">
        <v>3430</v>
      </c>
      <c r="G316" s="50" t="s">
        <v>3431</v>
      </c>
      <c r="H316" s="51" t="s">
        <v>3432</v>
      </c>
      <c r="I316" s="51" t="s">
        <v>3433</v>
      </c>
      <c r="J316" s="51" t="s">
        <v>3434</v>
      </c>
      <c r="K316" s="51" t="s">
        <v>129</v>
      </c>
      <c r="L316" s="51" t="s">
        <v>3435</v>
      </c>
      <c r="M316" s="52" t="str">
        <f>HYPERLINK("https://www.reddit.com/r/HOA/comments/1g1m9mf","https://www.reddit.com/r/HOA/comments/1g1m9mf")</f>
        <v>https://www.reddit.com/r/HOA/comments/1g1m9mf</v>
      </c>
      <c r="N316" s="51" t="s">
        <v>3436</v>
      </c>
      <c r="O316" s="51" t="s">
        <v>3437</v>
      </c>
      <c r="P316" s="50" t="s">
        <v>119</v>
      </c>
      <c r="Q316" s="50" t="s">
        <v>23</v>
      </c>
    </row>
    <row r="317" spans="1:17" ht="179.75" customHeight="1" x14ac:dyDescent="0.35">
      <c r="A317" s="50" t="s">
        <v>3438</v>
      </c>
      <c r="B317" s="50" t="s">
        <v>107</v>
      </c>
      <c r="C317" s="51" t="s">
        <v>3439</v>
      </c>
      <c r="D317" s="51" t="s">
        <v>296</v>
      </c>
      <c r="E317" s="50" t="s">
        <v>3440</v>
      </c>
      <c r="F317" s="51" t="s">
        <v>3148</v>
      </c>
      <c r="G317" s="50" t="s">
        <v>3441</v>
      </c>
      <c r="H317" s="51" t="s">
        <v>3442</v>
      </c>
      <c r="I317" s="51" t="s">
        <v>176</v>
      </c>
      <c r="J317" s="51" t="s">
        <v>3443</v>
      </c>
      <c r="K317" s="51" t="s">
        <v>3444</v>
      </c>
      <c r="L317" s="51" t="s">
        <v>3445</v>
      </c>
      <c r="M317" s="52" t="str">
        <f>HYPERLINK("https://www.bbb.org/us/il/chicago/profile/property-management/firstservice-residential-illinois-inc-0654-14001205/customer-reviews","https://www.bbb.org/us/il/chicago/profile/property-management/firstservice-residential-illinois-inc-0654-14001205/customer-reviews")</f>
        <v>https://www.bbb.org/us/il/chicago/profile/property-management/firstservice-residential-illinois-inc-0654-14001205/customer-reviews</v>
      </c>
      <c r="N317" s="51" t="s">
        <v>179</v>
      </c>
      <c r="O317" s="51" t="s">
        <v>3446</v>
      </c>
      <c r="P317" s="50" t="s">
        <v>119</v>
      </c>
      <c r="Q317" s="50" t="s">
        <v>23</v>
      </c>
    </row>
    <row r="318" spans="1:17" ht="179.75" customHeight="1" x14ac:dyDescent="0.35">
      <c r="A318" s="50" t="s">
        <v>3447</v>
      </c>
      <c r="B318" s="50" t="s">
        <v>107</v>
      </c>
      <c r="C318" s="51" t="s">
        <v>3439</v>
      </c>
      <c r="D318" s="51" t="s">
        <v>161</v>
      </c>
      <c r="E318" s="50" t="s">
        <v>3448</v>
      </c>
      <c r="F318" s="51" t="s">
        <v>3148</v>
      </c>
      <c r="G318" s="50" t="s">
        <v>3449</v>
      </c>
      <c r="H318" s="51" t="s">
        <v>3450</v>
      </c>
      <c r="I318" s="51" t="s">
        <v>176</v>
      </c>
      <c r="J318" s="51" t="s">
        <v>3443</v>
      </c>
      <c r="K318" s="51" t="s">
        <v>3451</v>
      </c>
      <c r="L318" s="51" t="s">
        <v>3452</v>
      </c>
      <c r="M318" s="52" t="str">
        <f>HYPERLINK("https://nz.trustpilot.com/review/fsresidential.com?page=6","https://nz.trustpilot.com/review/fsresidential.com?page=6")</f>
        <v>https://nz.trustpilot.com/review/fsresidential.com?page=6</v>
      </c>
      <c r="N318" s="51" t="s">
        <v>179</v>
      </c>
      <c r="O318" s="51" t="s">
        <v>3453</v>
      </c>
      <c r="P318" s="50" t="s">
        <v>119</v>
      </c>
      <c r="Q318" s="50" t="s">
        <v>23</v>
      </c>
    </row>
    <row r="319" spans="1:17" ht="179.75" customHeight="1" x14ac:dyDescent="0.35">
      <c r="A319" s="50" t="s">
        <v>3454</v>
      </c>
      <c r="B319" s="50" t="s">
        <v>107</v>
      </c>
      <c r="C319" s="51" t="s">
        <v>3455</v>
      </c>
      <c r="D319" s="51" t="s">
        <v>161</v>
      </c>
      <c r="E319" s="50" t="s">
        <v>3456</v>
      </c>
      <c r="F319" s="51" t="s">
        <v>3457</v>
      </c>
      <c r="G319" s="50" t="s">
        <v>3458</v>
      </c>
      <c r="H319" s="51" t="s">
        <v>3459</v>
      </c>
      <c r="I319" s="51" t="s">
        <v>176</v>
      </c>
      <c r="J319" s="51" t="s">
        <v>3460</v>
      </c>
      <c r="K319" s="51" t="s">
        <v>129</v>
      </c>
      <c r="L319" s="51" t="s">
        <v>3461</v>
      </c>
      <c r="M319" s="52" t="str">
        <f>HYPERLINK("https://www.reddit.com/r/fuckHOA/comments/1uebkz6/hoa_board_member_profiting_from_hoa/","https://www.reddit.com/r/fuckHOA/comments/1uebkz6/hoa_board_member_profiting_from_hoa/")</f>
        <v>https://www.reddit.com/r/fuckHOA/comments/1uebkz6/hoa_board_member_profiting_from_hoa/</v>
      </c>
      <c r="N319" s="51" t="s">
        <v>3436</v>
      </c>
      <c r="O319" s="51" t="s">
        <v>3462</v>
      </c>
      <c r="P319" s="50" t="s">
        <v>3463</v>
      </c>
      <c r="Q319" s="50" t="s">
        <v>23</v>
      </c>
    </row>
    <row r="320" spans="1:17" ht="179.75" customHeight="1" x14ac:dyDescent="0.35">
      <c r="A320" s="50" t="s">
        <v>3464</v>
      </c>
      <c r="B320" s="50" t="s">
        <v>107</v>
      </c>
      <c r="C320" s="51" t="s">
        <v>3465</v>
      </c>
      <c r="D320" s="51" t="s">
        <v>586</v>
      </c>
      <c r="E320" s="50" t="s">
        <v>3466</v>
      </c>
      <c r="F320" s="51" t="s">
        <v>3467</v>
      </c>
      <c r="G320" s="50" t="s">
        <v>3468</v>
      </c>
      <c r="H320" s="51" t="s">
        <v>3469</v>
      </c>
      <c r="I320" s="51" t="s">
        <v>3470</v>
      </c>
      <c r="J320" s="51" t="s">
        <v>3471</v>
      </c>
      <c r="K320" s="51" t="s">
        <v>3415</v>
      </c>
      <c r="L320" s="51" t="s">
        <v>3472</v>
      </c>
      <c r="M320" s="52" t="str">
        <f>HYPERLINK("https://hoatalk.com/topics/341563/board-president-using-family-members-as-vendors","https://hoatalk.com/topics/341563/board-president-using-family-members-as-vendors")</f>
        <v>https://hoatalk.com/topics/341563/board-president-using-family-members-as-vendors</v>
      </c>
      <c r="N320" s="51" t="s">
        <v>169</v>
      </c>
      <c r="O320" s="51" t="s">
        <v>3473</v>
      </c>
      <c r="P320" s="50" t="s">
        <v>119</v>
      </c>
      <c r="Q320" s="50" t="s">
        <v>23</v>
      </c>
    </row>
    <row r="321" spans="1:17" ht="179.75" customHeight="1" x14ac:dyDescent="0.35">
      <c r="A321" s="50" t="s">
        <v>3474</v>
      </c>
      <c r="B321" s="50" t="s">
        <v>107</v>
      </c>
      <c r="C321" s="51" t="s">
        <v>3475</v>
      </c>
      <c r="D321" s="51" t="s">
        <v>135</v>
      </c>
      <c r="E321" s="50" t="s">
        <v>3476</v>
      </c>
      <c r="F321" s="51" t="s">
        <v>3477</v>
      </c>
      <c r="G321" s="50" t="s">
        <v>3478</v>
      </c>
      <c r="H321" s="51" t="s">
        <v>3479</v>
      </c>
      <c r="I321" s="51" t="s">
        <v>3480</v>
      </c>
      <c r="J321" s="51" t="s">
        <v>3481</v>
      </c>
      <c r="K321" s="51" t="s">
        <v>3482</v>
      </c>
      <c r="L321" s="51" t="s">
        <v>3483</v>
      </c>
      <c r="M321" s="52" t="str">
        <f>HYPERLINK("https://acis-api.flcourts.gov/courts/cdc2beb5-919b-4198-a731-7b253b7119cc/cms/case/1d5efe55-f660-4295-aaab-5f64df3a7a7d/docketentrydocuments/a7e39745-a6f7-4fc4-ad25-ce0f4c574875","https://acis-api.flcourts.gov/courts/cdc2beb5-919b-4198-a731-7b253b7119cc/cms/case/1d5efe55-f660-4295-aaab-5f64df3a7a7d/docketentrydocuments/a7e39745-a6f7-4fc4-ad25-ce0f4c574875")</f>
        <v>https://acis-api.flcourts.gov/courts/cdc2beb5-919b-4198-a731-7b253b7119cc/cms/case/1d5efe55-f660-4295-aaab-5f64df3a7a7d/docketentrydocuments/a7e39745-a6f7-4fc4-ad25-ce0f4c574875</v>
      </c>
      <c r="N321" s="51" t="s">
        <v>3436</v>
      </c>
      <c r="O321" s="51" t="s">
        <v>3484</v>
      </c>
      <c r="P321" s="50" t="s">
        <v>119</v>
      </c>
      <c r="Q321" s="50" t="s">
        <v>23</v>
      </c>
    </row>
    <row r="322" spans="1:17" ht="179.75" customHeight="1" x14ac:dyDescent="0.35">
      <c r="A322" s="50" t="s">
        <v>3485</v>
      </c>
      <c r="B322" s="50" t="s">
        <v>107</v>
      </c>
      <c r="C322" s="51" t="s">
        <v>3486</v>
      </c>
      <c r="D322" s="51" t="s">
        <v>149</v>
      </c>
      <c r="E322" s="50" t="s">
        <v>3487</v>
      </c>
      <c r="F322" s="51" t="s">
        <v>3488</v>
      </c>
      <c r="G322" s="50" t="s">
        <v>3489</v>
      </c>
      <c r="H322" s="51" t="s">
        <v>3490</v>
      </c>
      <c r="I322" s="51" t="s">
        <v>176</v>
      </c>
      <c r="J322" s="51" t="s">
        <v>3491</v>
      </c>
      <c r="K322" s="51" t="s">
        <v>3492</v>
      </c>
      <c r="L322" s="51" t="s">
        <v>3493</v>
      </c>
      <c r="M322" s="52" t="str">
        <f>HYPERLINK("https://streeteasy.com/talk/discussion/18947-misappropriation-of-condo-maintenance-money","https://streeteasy.com/talk/discussion/18947-misappropriation-of-condo-maintenance-money")</f>
        <v>https://streeteasy.com/talk/discussion/18947-misappropriation-of-condo-maintenance-money</v>
      </c>
      <c r="N322" s="51" t="s">
        <v>3436</v>
      </c>
      <c r="O322" s="51" t="s">
        <v>3494</v>
      </c>
      <c r="P322" s="50" t="s">
        <v>119</v>
      </c>
      <c r="Q322" s="50" t="s">
        <v>23</v>
      </c>
    </row>
    <row r="323" spans="1:17" ht="179.75" customHeight="1" x14ac:dyDescent="0.35">
      <c r="A323" s="50" t="s">
        <v>3495</v>
      </c>
      <c r="B323" s="50" t="s">
        <v>107</v>
      </c>
      <c r="C323" s="51" t="s">
        <v>3358</v>
      </c>
      <c r="D323" s="51" t="s">
        <v>161</v>
      </c>
      <c r="E323" s="50" t="s">
        <v>3496</v>
      </c>
      <c r="F323" s="51" t="s">
        <v>3497</v>
      </c>
      <c r="G323" s="50" t="s">
        <v>3498</v>
      </c>
      <c r="H323" s="51" t="s">
        <v>3499</v>
      </c>
      <c r="I323" s="51" t="s">
        <v>176</v>
      </c>
      <c r="J323" s="51" t="s">
        <v>3500</v>
      </c>
      <c r="K323" s="51" t="s">
        <v>3501</v>
      </c>
      <c r="L323" s="51" t="s">
        <v>3502</v>
      </c>
      <c r="M323" s="52" t="str">
        <f>HYPERLINK("https://www.latimes.com/business/la-fi-associations-self-dealing-20161208-story.html","https://www.latimes.com/business/la-fi-associations-self-dealing-20161208-story.html")</f>
        <v>https://www.latimes.com/business/la-fi-associations-self-dealing-20161208-story.html</v>
      </c>
      <c r="N323" s="51" t="s">
        <v>204</v>
      </c>
      <c r="O323" s="51" t="s">
        <v>3503</v>
      </c>
      <c r="P323" s="50" t="s">
        <v>119</v>
      </c>
      <c r="Q323" s="50" t="s">
        <v>23</v>
      </c>
    </row>
    <row r="324" spans="1:17" ht="179.75" customHeight="1" x14ac:dyDescent="0.35">
      <c r="A324" s="50" t="s">
        <v>3504</v>
      </c>
      <c r="B324" s="50" t="s">
        <v>107</v>
      </c>
      <c r="C324" s="51" t="s">
        <v>3505</v>
      </c>
      <c r="D324" s="51" t="s">
        <v>135</v>
      </c>
      <c r="E324" s="50" t="s">
        <v>3506</v>
      </c>
      <c r="F324" s="51" t="s">
        <v>3507</v>
      </c>
      <c r="G324" s="50" t="s">
        <v>3508</v>
      </c>
      <c r="H324" s="51" t="s">
        <v>3509</v>
      </c>
      <c r="I324" s="51" t="s">
        <v>3510</v>
      </c>
      <c r="J324" s="51" t="s">
        <v>3511</v>
      </c>
      <c r="K324" s="51" t="s">
        <v>3512</v>
      </c>
      <c r="L324" s="51" t="s">
        <v>3513</v>
      </c>
      <c r="M324" s="52" t="str">
        <f>HYPERLINK("https://www.cbsnews.com/miami/news/former-condo-association-president-faces-grand-theft-charges/","https://www.cbsnews.com/miami/news/former-condo-association-president-faces-grand-theft-charges/")</f>
        <v>https://www.cbsnews.com/miami/news/former-condo-association-president-faces-grand-theft-charges/</v>
      </c>
      <c r="N324" s="51" t="s">
        <v>3514</v>
      </c>
      <c r="O324" s="51" t="s">
        <v>3515</v>
      </c>
      <c r="P324" s="50" t="s">
        <v>119</v>
      </c>
      <c r="Q324" s="50" t="s">
        <v>23</v>
      </c>
    </row>
    <row r="325" spans="1:17" ht="179.75" customHeight="1" x14ac:dyDescent="0.35">
      <c r="A325" s="50" t="s">
        <v>3516</v>
      </c>
      <c r="B325" s="50" t="s">
        <v>107</v>
      </c>
      <c r="C325" s="51" t="s">
        <v>3517</v>
      </c>
      <c r="D325" s="51" t="s">
        <v>135</v>
      </c>
      <c r="E325" s="50" t="s">
        <v>3518</v>
      </c>
      <c r="F325" s="51" t="s">
        <v>3519</v>
      </c>
      <c r="G325" s="50" t="s">
        <v>3520</v>
      </c>
      <c r="H325" s="51" t="s">
        <v>3521</v>
      </c>
      <c r="I325" s="51" t="s">
        <v>3522</v>
      </c>
      <c r="J325" s="51" t="s">
        <v>3523</v>
      </c>
      <c r="K325" s="51" t="s">
        <v>129</v>
      </c>
      <c r="L325" s="51" t="s">
        <v>3524</v>
      </c>
      <c r="M325" s="52" t="str">
        <f>HYPERLINK("https://www.reddit.com/r/HOA/comments/1iytcnp","https://www.reddit.com/r/HOA/comments/1iytcnp")</f>
        <v>https://www.reddit.com/r/HOA/comments/1iytcnp</v>
      </c>
      <c r="N325" s="51" t="s">
        <v>131</v>
      </c>
      <c r="O325" s="51" t="s">
        <v>3525</v>
      </c>
      <c r="P325" s="50" t="s">
        <v>119</v>
      </c>
      <c r="Q325" s="50" t="s">
        <v>23</v>
      </c>
    </row>
    <row r="326" spans="1:17" ht="179.75" customHeight="1" x14ac:dyDescent="0.35">
      <c r="A326" s="50" t="s">
        <v>3526</v>
      </c>
      <c r="B326" s="50" t="s">
        <v>107</v>
      </c>
      <c r="C326" s="51" t="s">
        <v>3527</v>
      </c>
      <c r="D326" s="51" t="s">
        <v>122</v>
      </c>
      <c r="E326" s="50" t="s">
        <v>3528</v>
      </c>
      <c r="F326" s="51" t="s">
        <v>3529</v>
      </c>
      <c r="G326" s="50" t="s">
        <v>3530</v>
      </c>
      <c r="H326" s="51" t="s">
        <v>3531</v>
      </c>
      <c r="I326" s="51" t="s">
        <v>3532</v>
      </c>
      <c r="J326" s="51" t="s">
        <v>3533</v>
      </c>
      <c r="K326" s="51" t="s">
        <v>3534</v>
      </c>
      <c r="L326" s="51" t="s">
        <v>3535</v>
      </c>
      <c r="M326" s="52" t="str">
        <f>HYPERLINK("https://www.biggerpockets.com/forums/52/topics/877776-vendor-upcharge-by-property-manager","https://www.biggerpockets.com/forums/52/topics/877776-vendor-upcharge-by-property-manager")</f>
        <v>https://www.biggerpockets.com/forums/52/topics/877776-vendor-upcharge-by-property-manager</v>
      </c>
      <c r="N326" s="51" t="s">
        <v>144</v>
      </c>
      <c r="O326" s="51" t="s">
        <v>3536</v>
      </c>
      <c r="P326" s="50" t="s">
        <v>119</v>
      </c>
      <c r="Q326" s="50" t="s">
        <v>23</v>
      </c>
    </row>
    <row r="327" spans="1:17" ht="179.75" customHeight="1" x14ac:dyDescent="0.35">
      <c r="A327" s="50" t="s">
        <v>3537</v>
      </c>
      <c r="B327" s="50" t="s">
        <v>107</v>
      </c>
      <c r="C327" s="51" t="s">
        <v>3538</v>
      </c>
      <c r="D327" s="51" t="s">
        <v>517</v>
      </c>
      <c r="E327" s="50" t="s">
        <v>3539</v>
      </c>
      <c r="F327" s="51" t="s">
        <v>3540</v>
      </c>
      <c r="G327" s="50" t="s">
        <v>3541</v>
      </c>
      <c r="H327" s="51" t="s">
        <v>3542</v>
      </c>
      <c r="I327" s="51" t="s">
        <v>3543</v>
      </c>
      <c r="J327" s="51" t="s">
        <v>3544</v>
      </c>
      <c r="K327" s="51" t="s">
        <v>214</v>
      </c>
      <c r="L327" s="51" t="s">
        <v>3545</v>
      </c>
      <c r="M327" s="52" t="str">
        <f>HYPERLINK("https://www.reddit.com/r/legaladvice/comments/1bjm17q","https://www.reddit.com/r/legaladvice/comments/1bjm17q")</f>
        <v>https://www.reddit.com/r/legaladvice/comments/1bjm17q</v>
      </c>
      <c r="N327" s="51" t="s">
        <v>204</v>
      </c>
      <c r="O327" s="51" t="s">
        <v>3546</v>
      </c>
      <c r="P327" s="50" t="s">
        <v>3463</v>
      </c>
      <c r="Q327" s="50" t="s">
        <v>23</v>
      </c>
    </row>
    <row r="328" spans="1:17" ht="179.75" customHeight="1" x14ac:dyDescent="0.35">
      <c r="A328" s="50" t="s">
        <v>3547</v>
      </c>
      <c r="B328" s="50" t="s">
        <v>107</v>
      </c>
      <c r="C328" s="51" t="s">
        <v>3548</v>
      </c>
      <c r="D328" s="51" t="s">
        <v>122</v>
      </c>
      <c r="E328" s="50" t="s">
        <v>3549</v>
      </c>
      <c r="F328" s="51" t="s">
        <v>3550</v>
      </c>
      <c r="G328" s="50" t="s">
        <v>3551</v>
      </c>
      <c r="H328" s="51" t="s">
        <v>3552</v>
      </c>
      <c r="I328" s="51" t="s">
        <v>3553</v>
      </c>
      <c r="J328" s="51" t="s">
        <v>3554</v>
      </c>
      <c r="K328" s="51" t="s">
        <v>3415</v>
      </c>
      <c r="L328" s="51" t="s">
        <v>3555</v>
      </c>
      <c r="M328" s="52" t="str">
        <f>HYPERLINK("https://hoatalk.com/topics/327068/property-manager-misinforming","https://hoatalk.com/topics/327068/property-manager-misinforming")</f>
        <v>https://hoatalk.com/topics/327068/property-manager-misinforming</v>
      </c>
      <c r="N328" s="51" t="s">
        <v>3556</v>
      </c>
      <c r="O328" s="51" t="s">
        <v>3557</v>
      </c>
      <c r="P328" s="50" t="s">
        <v>3463</v>
      </c>
      <c r="Q328" s="50" t="s">
        <v>23</v>
      </c>
    </row>
    <row r="329" spans="1:17" ht="179.75" customHeight="1" x14ac:dyDescent="0.35">
      <c r="A329" s="50" t="s">
        <v>3558</v>
      </c>
      <c r="B329" s="50" t="s">
        <v>107</v>
      </c>
      <c r="C329" s="51" t="s">
        <v>3538</v>
      </c>
      <c r="D329" s="51" t="s">
        <v>1337</v>
      </c>
      <c r="E329" s="50" t="s">
        <v>3559</v>
      </c>
      <c r="F329" s="51" t="s">
        <v>3560</v>
      </c>
      <c r="G329" s="50" t="s">
        <v>3561</v>
      </c>
      <c r="H329" s="51" t="s">
        <v>3562</v>
      </c>
      <c r="I329" s="51" t="s">
        <v>176</v>
      </c>
      <c r="J329" s="51" t="s">
        <v>3563</v>
      </c>
      <c r="K329" s="51" t="s">
        <v>3564</v>
      </c>
      <c r="L329" s="51" t="s">
        <v>3565</v>
      </c>
      <c r="M329" s="52" t="str">
        <f>HYPERLINK("https://www.hoamanagement.com/ask-an-hoa-manager/disclosing-bids-for-insurance-vendors/","https://www.hoamanagement.com/ask-an-hoa-manager/disclosing-bids-for-insurance-vendors/")</f>
        <v>https://www.hoamanagement.com/ask-an-hoa-manager/disclosing-bids-for-insurance-vendors/</v>
      </c>
      <c r="N329" s="51" t="s">
        <v>3566</v>
      </c>
      <c r="O329" s="51" t="s">
        <v>3567</v>
      </c>
      <c r="P329" s="50" t="s">
        <v>3463</v>
      </c>
      <c r="Q329" s="50" t="s">
        <v>23</v>
      </c>
    </row>
    <row r="330" spans="1:17" ht="179.75" customHeight="1" x14ac:dyDescent="0.35">
      <c r="A330" s="50" t="s">
        <v>3568</v>
      </c>
      <c r="B330" s="50" t="s">
        <v>107</v>
      </c>
      <c r="C330" s="51" t="s">
        <v>3538</v>
      </c>
      <c r="D330" s="51" t="s">
        <v>161</v>
      </c>
      <c r="E330" s="50" t="s">
        <v>3569</v>
      </c>
      <c r="F330" s="51" t="s">
        <v>3570</v>
      </c>
      <c r="G330" s="50" t="s">
        <v>3571</v>
      </c>
      <c r="H330" s="51" t="s">
        <v>3572</v>
      </c>
      <c r="I330" s="51" t="s">
        <v>176</v>
      </c>
      <c r="J330" s="51" t="s">
        <v>3573</v>
      </c>
      <c r="K330" s="51" t="s">
        <v>129</v>
      </c>
      <c r="L330" s="51" t="s">
        <v>3574</v>
      </c>
      <c r="M330" s="52" t="str">
        <f>HYPERLINK("https://www.reddit.com/r/fuckHOA/comments/1r46164/our_insurance_broker_is_on_the_board_of_our_hoa/","https://www.reddit.com/r/fuckHOA/comments/1r46164/our_insurance_broker_is_on_the_board_of_our_hoa/")</f>
        <v>https://www.reddit.com/r/fuckHOA/comments/1r46164/our_insurance_broker_is_on_the_board_of_our_hoa/</v>
      </c>
      <c r="N330" s="51" t="s">
        <v>3436</v>
      </c>
      <c r="O330" s="51" t="s">
        <v>3575</v>
      </c>
      <c r="P330" s="50" t="s">
        <v>3463</v>
      </c>
      <c r="Q330" s="50" t="s">
        <v>23</v>
      </c>
    </row>
    <row r="331" spans="1:17" ht="179.75" customHeight="1" x14ac:dyDescent="0.35">
      <c r="A331" s="50" t="s">
        <v>3576</v>
      </c>
      <c r="B331" s="50" t="s">
        <v>107</v>
      </c>
      <c r="C331" s="51" t="s">
        <v>3239</v>
      </c>
      <c r="D331" s="51" t="s">
        <v>349</v>
      </c>
      <c r="E331" s="50" t="s">
        <v>3577</v>
      </c>
      <c r="F331" s="51" t="s">
        <v>3578</v>
      </c>
      <c r="G331" s="50" t="s">
        <v>3579</v>
      </c>
      <c r="H331" s="51" t="s">
        <v>3580</v>
      </c>
      <c r="I331" s="51" t="s">
        <v>3581</v>
      </c>
      <c r="J331" s="51" t="s">
        <v>3582</v>
      </c>
      <c r="K331" s="51" t="s">
        <v>3583</v>
      </c>
      <c r="L331" s="51" t="s">
        <v>3584</v>
      </c>
      <c r="M331" s="52" t="str">
        <f>HYPERLINK("https://www.reddit.com/r/HOA/comments/1m5v2u7/mn_condo_firstservice_residential_predatory/","https://www.reddit.com/r/HOA/comments/1m5v2u7/mn_condo_firstservice_residential_predatory/")</f>
        <v>https://www.reddit.com/r/HOA/comments/1m5v2u7/mn_condo_firstservice_residential_predatory/</v>
      </c>
      <c r="N331" s="51" t="s">
        <v>131</v>
      </c>
      <c r="O331" s="51" t="s">
        <v>3585</v>
      </c>
      <c r="P331" s="50" t="s">
        <v>119</v>
      </c>
      <c r="Q331" s="50" t="s">
        <v>23</v>
      </c>
    </row>
    <row r="332" spans="1:17" ht="179.75" customHeight="1" x14ac:dyDescent="0.35">
      <c r="A332" s="50" t="s">
        <v>3586</v>
      </c>
      <c r="B332" s="50" t="s">
        <v>107</v>
      </c>
      <c r="C332" s="51" t="s">
        <v>3587</v>
      </c>
      <c r="D332" s="51" t="s">
        <v>135</v>
      </c>
      <c r="E332" s="50" t="s">
        <v>3588</v>
      </c>
      <c r="F332" s="51" t="s">
        <v>3589</v>
      </c>
      <c r="G332" s="50" t="s">
        <v>3590</v>
      </c>
      <c r="H332" s="51" t="s">
        <v>3591</v>
      </c>
      <c r="I332" s="51" t="s">
        <v>176</v>
      </c>
      <c r="J332" s="51" t="s">
        <v>3592</v>
      </c>
      <c r="K332" s="51" t="s">
        <v>3593</v>
      </c>
      <c r="L332" s="51" t="s">
        <v>3594</v>
      </c>
      <c r="M332" s="52" t="str">
        <f>HYPERLINK("https://www.hoaleader.com/public/Condo-HOA-Wonders-This-Insurance-Broker-On-Up-Up.cfm","https://www.hoaleader.com/public/Condo-HOA-Wonders-This-Insurance-Broker-On-Up-Up.cfm")</f>
        <v>https://www.hoaleader.com/public/Condo-HOA-Wonders-This-Insurance-Broker-On-Up-Up.cfm</v>
      </c>
      <c r="N332" s="51" t="s">
        <v>3595</v>
      </c>
      <c r="O332" s="51" t="s">
        <v>3596</v>
      </c>
      <c r="P332" s="50" t="s">
        <v>3463</v>
      </c>
      <c r="Q332" s="50" t="s">
        <v>23</v>
      </c>
    </row>
    <row r="333" spans="1:17" ht="179.75" customHeight="1" x14ac:dyDescent="0.35">
      <c r="A333" s="50" t="s">
        <v>3597</v>
      </c>
      <c r="B333" s="50" t="s">
        <v>107</v>
      </c>
      <c r="C333" s="51" t="s">
        <v>3538</v>
      </c>
      <c r="D333" s="51" t="s">
        <v>122</v>
      </c>
      <c r="E333" s="50" t="s">
        <v>3598</v>
      </c>
      <c r="F333" s="51" t="s">
        <v>3421</v>
      </c>
      <c r="G333" s="50" t="s">
        <v>3599</v>
      </c>
      <c r="H333" s="51" t="s">
        <v>3600</v>
      </c>
      <c r="I333" s="51" t="s">
        <v>3601</v>
      </c>
      <c r="J333" s="51" t="s">
        <v>3602</v>
      </c>
      <c r="K333" s="51" t="s">
        <v>3415</v>
      </c>
      <c r="L333" s="51" t="s">
        <v>3603</v>
      </c>
      <c r="M333" s="52" t="str">
        <f>HYPERLINK("https://www.hoatalk.com/topics/274842/hoa-possible-embezzlement","https://www.hoatalk.com/topics/274842/hoa-possible-embezzlement")</f>
        <v>https://www.hoatalk.com/topics/274842/hoa-possible-embezzlement</v>
      </c>
      <c r="N333" s="51" t="s">
        <v>131</v>
      </c>
      <c r="O333" s="51" t="s">
        <v>3604</v>
      </c>
      <c r="P333" s="50" t="s">
        <v>119</v>
      </c>
      <c r="Q333" s="50" t="s">
        <v>23</v>
      </c>
    </row>
    <row r="334" spans="1:17" ht="179.75" customHeight="1" x14ac:dyDescent="0.35">
      <c r="A334" s="50" t="s">
        <v>3605</v>
      </c>
      <c r="B334" s="50" t="s">
        <v>107</v>
      </c>
      <c r="C334" s="51" t="s">
        <v>3606</v>
      </c>
      <c r="D334" s="51" t="s">
        <v>161</v>
      </c>
      <c r="E334" s="50" t="s">
        <v>3607</v>
      </c>
      <c r="F334" s="51" t="s">
        <v>3608</v>
      </c>
      <c r="G334" s="50" t="s">
        <v>3609</v>
      </c>
      <c r="H334" s="51" t="s">
        <v>3610</v>
      </c>
      <c r="I334" s="51" t="s">
        <v>3611</v>
      </c>
      <c r="J334" s="51" t="s">
        <v>3612</v>
      </c>
      <c r="K334" s="51" t="s">
        <v>3613</v>
      </c>
      <c r="L334" s="51" t="s">
        <v>3614</v>
      </c>
      <c r="M334" s="52" t="str">
        <f>HYPERLINK("https://www.reddit.com/r/fuckHOA/comments/jrqp1b","https://www.reddit.com/r/fuckHOA/comments/jrqp1b")</f>
        <v>https://www.reddit.com/r/fuckHOA/comments/jrqp1b</v>
      </c>
      <c r="N334" s="51" t="s">
        <v>3436</v>
      </c>
      <c r="O334" s="51" t="s">
        <v>3615</v>
      </c>
      <c r="P334" s="50" t="s">
        <v>119</v>
      </c>
      <c r="Q334" s="50" t="s">
        <v>23</v>
      </c>
    </row>
    <row r="335" spans="1:17" ht="179.75" customHeight="1" x14ac:dyDescent="0.35">
      <c r="A335" s="50" t="s">
        <v>3616</v>
      </c>
      <c r="B335" s="50" t="s">
        <v>107</v>
      </c>
      <c r="C335" s="51" t="s">
        <v>3538</v>
      </c>
      <c r="D335" s="51" t="s">
        <v>1337</v>
      </c>
      <c r="E335" s="50" t="s">
        <v>3617</v>
      </c>
      <c r="F335" s="51" t="s">
        <v>163</v>
      </c>
      <c r="G335" s="50" t="s">
        <v>3618</v>
      </c>
      <c r="H335" s="51" t="s">
        <v>3619</v>
      </c>
      <c r="I335" s="51" t="s">
        <v>3620</v>
      </c>
      <c r="J335" s="51" t="s">
        <v>3621</v>
      </c>
      <c r="K335" s="51" t="s">
        <v>214</v>
      </c>
      <c r="L335" s="51" t="s">
        <v>3622</v>
      </c>
      <c r="M335" s="52" t="str">
        <f>HYPERLINK("https://www.reddit.com/r/legaladvice/comments/c04srd","https://www.reddit.com/r/legaladvice/comments/c04srd")</f>
        <v>https://www.reddit.com/r/legaladvice/comments/c04srd</v>
      </c>
      <c r="N335" s="51" t="s">
        <v>204</v>
      </c>
      <c r="O335" s="51" t="s">
        <v>3623</v>
      </c>
      <c r="P335" s="50" t="s">
        <v>119</v>
      </c>
      <c r="Q335" s="50" t="s">
        <v>23</v>
      </c>
    </row>
    <row r="336" spans="1:17" ht="179.75" customHeight="1" x14ac:dyDescent="0.35">
      <c r="A336" s="50" t="s">
        <v>3624</v>
      </c>
      <c r="B336" s="50" t="s">
        <v>107</v>
      </c>
      <c r="C336" s="51" t="s">
        <v>3538</v>
      </c>
      <c r="D336" s="51" t="s">
        <v>135</v>
      </c>
      <c r="E336" s="50" t="s">
        <v>3625</v>
      </c>
      <c r="F336" s="51" t="s">
        <v>3626</v>
      </c>
      <c r="G336" s="50" t="s">
        <v>3627</v>
      </c>
      <c r="H336" s="51" t="s">
        <v>3628</v>
      </c>
      <c r="I336" s="51" t="s">
        <v>3629</v>
      </c>
      <c r="J336" s="51" t="s">
        <v>3630</v>
      </c>
      <c r="K336" s="51" t="s">
        <v>3415</v>
      </c>
      <c r="L336" s="51" t="s">
        <v>3631</v>
      </c>
      <c r="M336" s="52" t="str">
        <f>HYPERLINK("https://www.hoatalk.com/topics/262899/hoa-president-wants-to-use-his-own-management-comp","https://www.hoatalk.com/topics/262899/hoa-president-wants-to-use-his-own-management-comp")</f>
        <v>https://www.hoatalk.com/topics/262899/hoa-president-wants-to-use-his-own-management-comp</v>
      </c>
      <c r="N336" s="51" t="s">
        <v>3632</v>
      </c>
      <c r="O336" s="51" t="s">
        <v>3633</v>
      </c>
      <c r="P336" s="50" t="s">
        <v>119</v>
      </c>
      <c r="Q336" s="50" t="s">
        <v>23</v>
      </c>
    </row>
    <row r="337" spans="1:17" ht="179.75" customHeight="1" x14ac:dyDescent="0.35">
      <c r="A337" s="50" t="s">
        <v>3634</v>
      </c>
      <c r="B337" s="50" t="s">
        <v>107</v>
      </c>
      <c r="C337" s="51" t="s">
        <v>3538</v>
      </c>
      <c r="D337" s="51" t="s">
        <v>195</v>
      </c>
      <c r="E337" s="50" t="s">
        <v>3635</v>
      </c>
      <c r="F337" s="51" t="s">
        <v>3636</v>
      </c>
      <c r="G337" s="50" t="s">
        <v>3637</v>
      </c>
      <c r="H337" s="51" t="s">
        <v>3638</v>
      </c>
      <c r="I337" s="51" t="s">
        <v>176</v>
      </c>
      <c r="J337" s="51" t="s">
        <v>3639</v>
      </c>
      <c r="K337" s="51" t="s">
        <v>3365</v>
      </c>
      <c r="L337" s="51" t="s">
        <v>3640</v>
      </c>
      <c r="M337" s="52" t="str">
        <f>HYPERLINK("https://www.condoassociation.com/blog/is-it-a-conflict-to-be-an-hoa-vendor-and-board-member","https://www.condoassociation.com/blog/is-it-a-conflict-to-be-an-hoa-vendor-and-board-member")</f>
        <v>https://www.condoassociation.com/blog/is-it-a-conflict-to-be-an-hoa-vendor-and-board-member</v>
      </c>
      <c r="N337" s="51" t="s">
        <v>3641</v>
      </c>
      <c r="O337" s="51" t="s">
        <v>3642</v>
      </c>
      <c r="P337" s="50" t="s">
        <v>119</v>
      </c>
      <c r="Q337" s="50" t="s">
        <v>23</v>
      </c>
    </row>
    <row r="338" spans="1:17" ht="179.75" customHeight="1" x14ac:dyDescent="0.35">
      <c r="A338" s="50" t="s">
        <v>3643</v>
      </c>
      <c r="B338" s="50" t="s">
        <v>107</v>
      </c>
      <c r="C338" s="51" t="s">
        <v>3644</v>
      </c>
      <c r="D338" s="51" t="s">
        <v>195</v>
      </c>
      <c r="E338" s="50" t="s">
        <v>3645</v>
      </c>
      <c r="F338" s="51" t="s">
        <v>3646</v>
      </c>
      <c r="G338" s="50" t="s">
        <v>3647</v>
      </c>
      <c r="H338" s="51" t="s">
        <v>3648</v>
      </c>
      <c r="I338" s="51" t="s">
        <v>3649</v>
      </c>
      <c r="J338" s="51" t="s">
        <v>3650</v>
      </c>
      <c r="K338" s="51" t="s">
        <v>3651</v>
      </c>
      <c r="L338" s="51" t="s">
        <v>3652</v>
      </c>
      <c r="M338" s="52" t="str">
        <f>HYPERLINK("https://www.reddit.com/r/HOA/comments/1rsy88t/ca_condo_hoa_is_trying_to_fine_me_11k_for_a/","https://www.reddit.com/r/HOA/comments/1rsy88t/ca_condo_hoa_is_trying_to_fine_me_11k_for_a/")</f>
        <v>https://www.reddit.com/r/HOA/comments/1rsy88t/ca_condo_hoa_is_trying_to_fine_me_11k_for_a/</v>
      </c>
      <c r="N338" s="51" t="s">
        <v>3653</v>
      </c>
      <c r="O338" s="51" t="s">
        <v>3654</v>
      </c>
      <c r="P338" s="50" t="s">
        <v>119</v>
      </c>
      <c r="Q338" s="50" t="s">
        <v>23</v>
      </c>
    </row>
    <row r="339" spans="1:17" ht="179.75" customHeight="1" x14ac:dyDescent="0.35">
      <c r="A339" s="50" t="s">
        <v>3655</v>
      </c>
      <c r="B339" s="50" t="s">
        <v>107</v>
      </c>
      <c r="C339" s="51" t="s">
        <v>3656</v>
      </c>
      <c r="D339" s="51" t="s">
        <v>1690</v>
      </c>
      <c r="E339" s="50" t="s">
        <v>3657</v>
      </c>
      <c r="F339" s="51" t="s">
        <v>3658</v>
      </c>
      <c r="G339" s="50" t="s">
        <v>3659</v>
      </c>
      <c r="H339" s="51" t="s">
        <v>3660</v>
      </c>
      <c r="I339" s="51" t="s">
        <v>3661</v>
      </c>
      <c r="J339" s="51" t="s">
        <v>3662</v>
      </c>
      <c r="K339" s="51" t="s">
        <v>3651</v>
      </c>
      <c r="L339" s="51" t="s">
        <v>3663</v>
      </c>
      <c r="M339" s="52" t="str">
        <f>HYPERLINK("https://www.reddit.com/r/HOA/comments/1guj8n4/hi_condo_forced_to_participate_in_hoa_loan/","https://www.reddit.com/r/HOA/comments/1guj8n4/hi_condo_forced_to_participate_in_hoa_loan/")</f>
        <v>https://www.reddit.com/r/HOA/comments/1guj8n4/hi_condo_forced_to_participate_in_hoa_loan/</v>
      </c>
      <c r="N339" s="51" t="s">
        <v>3664</v>
      </c>
      <c r="O339" s="51" t="s">
        <v>3665</v>
      </c>
      <c r="P339" s="50" t="s">
        <v>230</v>
      </c>
      <c r="Q339" s="50" t="s">
        <v>23</v>
      </c>
    </row>
    <row r="340" spans="1:17" ht="179.75" customHeight="1" x14ac:dyDescent="0.35">
      <c r="A340" s="50" t="s">
        <v>3666</v>
      </c>
      <c r="B340" s="50" t="s">
        <v>3667</v>
      </c>
      <c r="C340" s="51" t="s">
        <v>3668</v>
      </c>
      <c r="D340" s="51" t="s">
        <v>135</v>
      </c>
      <c r="E340" s="50" t="s">
        <v>3669</v>
      </c>
      <c r="F340" s="51" t="s">
        <v>3670</v>
      </c>
      <c r="G340" s="50" t="s">
        <v>3671</v>
      </c>
      <c r="H340" s="51" t="s">
        <v>3672</v>
      </c>
      <c r="I340" s="51" t="s">
        <v>3673</v>
      </c>
      <c r="J340" s="51" t="s">
        <v>3674</v>
      </c>
      <c r="K340" s="51" t="s">
        <v>3651</v>
      </c>
      <c r="L340" s="51" t="s">
        <v>3675</v>
      </c>
      <c r="M340" s="52" t="str">
        <f>HYPERLINK("https://www.reddit.com/r/HOA/comments/1u7pspd/hoa_homeowners_being_charged_for_liens_allegedly/","https://www.reddit.com/r/HOA/comments/1u7pspd/hoa_homeowners_being_charged_for_liens_allegedly/")</f>
        <v>https://www.reddit.com/r/HOA/comments/1u7pspd/hoa_homeowners_being_charged_for_liens_allegedly/</v>
      </c>
      <c r="N340" s="51" t="s">
        <v>3676</v>
      </c>
      <c r="O340" s="51" t="s">
        <v>3677</v>
      </c>
      <c r="P340" s="50" t="s">
        <v>384</v>
      </c>
      <c r="Q340" s="50" t="s">
        <v>23</v>
      </c>
    </row>
    <row r="341" spans="1:17" ht="179.75" customHeight="1" x14ac:dyDescent="0.35">
      <c r="A341" s="50" t="s">
        <v>3678</v>
      </c>
      <c r="B341" s="50" t="s">
        <v>107</v>
      </c>
      <c r="C341" s="51" t="s">
        <v>3679</v>
      </c>
      <c r="D341" s="51" t="s">
        <v>161</v>
      </c>
      <c r="E341" s="50" t="s">
        <v>3680</v>
      </c>
      <c r="F341" s="51" t="s">
        <v>3681</v>
      </c>
      <c r="G341" s="50" t="s">
        <v>3682</v>
      </c>
      <c r="H341" s="51" t="s">
        <v>3683</v>
      </c>
      <c r="I341" s="51" t="s">
        <v>3684</v>
      </c>
      <c r="J341" s="51" t="s">
        <v>3685</v>
      </c>
      <c r="K341" s="51" t="s">
        <v>3651</v>
      </c>
      <c r="L341" s="51" t="s">
        <v>168</v>
      </c>
      <c r="M341" s="52" t="str">
        <f>HYPERLINK("https://www.reddit.com/r/HOA/comments/huqxw5/property_manager_making_commission/","https://www.reddit.com/r/HOA/comments/huqxw5/property_manager_making_commission/")</f>
        <v>https://www.reddit.com/r/HOA/comments/huqxw5/property_manager_making_commission/</v>
      </c>
      <c r="N341" s="51" t="s">
        <v>3686</v>
      </c>
      <c r="O341" s="51" t="s">
        <v>3687</v>
      </c>
      <c r="P341" s="50" t="s">
        <v>230</v>
      </c>
      <c r="Q341" s="50" t="s">
        <v>23</v>
      </c>
    </row>
    <row r="342" spans="1:17" ht="179.75" customHeight="1" x14ac:dyDescent="0.35">
      <c r="A342" s="50" t="s">
        <v>3688</v>
      </c>
      <c r="B342" s="50" t="s">
        <v>3689</v>
      </c>
      <c r="C342" s="51" t="s">
        <v>3690</v>
      </c>
      <c r="D342" s="51" t="s">
        <v>517</v>
      </c>
      <c r="E342" s="50" t="s">
        <v>3691</v>
      </c>
      <c r="F342" s="51" t="s">
        <v>3692</v>
      </c>
      <c r="G342" s="50" t="s">
        <v>3693</v>
      </c>
      <c r="H342" s="51" t="s">
        <v>3694</v>
      </c>
      <c r="I342" s="51" t="s">
        <v>3695</v>
      </c>
      <c r="J342" s="51" t="s">
        <v>3696</v>
      </c>
      <c r="K342" s="51" t="s">
        <v>3697</v>
      </c>
      <c r="L342" s="51" t="s">
        <v>3698</v>
      </c>
      <c r="M342" s="52" t="str">
        <f>HYPERLINK("https://www.wcnc.com/article/money/union-county-nc-hoa-drama-10-29-2025/275-fcbac72e-12c7-44a1-a6c4-6f85faa057ee","https://www.wcnc.com/article/money/union-county-nc-hoa-drama-10-29-2025/275-fcbac72e-12c7-44a1-a6c4-6f85faa057ee")</f>
        <v>https://www.wcnc.com/article/money/union-county-nc-hoa-drama-10-29-2025/275-fcbac72e-12c7-44a1-a6c4-6f85faa057ee</v>
      </c>
      <c r="N342" s="51" t="s">
        <v>3699</v>
      </c>
      <c r="O342" s="51" t="s">
        <v>3700</v>
      </c>
      <c r="P342" s="50" t="s">
        <v>3701</v>
      </c>
      <c r="Q342" s="50" t="s">
        <v>23</v>
      </c>
    </row>
    <row r="343" spans="1:17" ht="179.75" customHeight="1" x14ac:dyDescent="0.35">
      <c r="A343" s="50" t="s">
        <v>3702</v>
      </c>
      <c r="B343" s="50" t="s">
        <v>3667</v>
      </c>
      <c r="C343" s="51" t="s">
        <v>3703</v>
      </c>
      <c r="D343" s="51" t="s">
        <v>402</v>
      </c>
      <c r="E343" s="50" t="s">
        <v>3704</v>
      </c>
      <c r="F343" s="51" t="s">
        <v>3705</v>
      </c>
      <c r="G343" s="50" t="s">
        <v>3706</v>
      </c>
      <c r="H343" s="51" t="s">
        <v>3707</v>
      </c>
      <c r="I343" s="51" t="s">
        <v>3708</v>
      </c>
      <c r="J343" s="51" t="s">
        <v>3709</v>
      </c>
      <c r="K343" s="51" t="s">
        <v>3651</v>
      </c>
      <c r="L343" s="51" t="s">
        <v>3710</v>
      </c>
      <c r="M343" s="52" t="str">
        <f>HYPERLINK("https://www.reddit.com/r/HOA/comments/1jnsizg/or_th_special_assessment_at_risk_of_pricing_out/","https://www.reddit.com/r/HOA/comments/1jnsizg/or_th_special_assessment_at_risk_of_pricing_out/")</f>
        <v>https://www.reddit.com/r/HOA/comments/1jnsizg/or_th_special_assessment_at_risk_of_pricing_out/</v>
      </c>
      <c r="N343" s="51" t="s">
        <v>3711</v>
      </c>
      <c r="O343" s="51" t="s">
        <v>3712</v>
      </c>
      <c r="P343" s="50" t="s">
        <v>230</v>
      </c>
      <c r="Q343" s="50" t="s">
        <v>23</v>
      </c>
    </row>
    <row r="344" spans="1:17" ht="179.75" customHeight="1" x14ac:dyDescent="0.35">
      <c r="A344" s="50" t="s">
        <v>3713</v>
      </c>
      <c r="B344" s="50" t="s">
        <v>107</v>
      </c>
      <c r="C344" s="51" t="s">
        <v>3714</v>
      </c>
      <c r="D344" s="51" t="s">
        <v>479</v>
      </c>
      <c r="E344" s="50" t="s">
        <v>3715</v>
      </c>
      <c r="F344" s="51" t="s">
        <v>3716</v>
      </c>
      <c r="G344" s="50" t="s">
        <v>3717</v>
      </c>
      <c r="H344" s="51" t="s">
        <v>3718</v>
      </c>
      <c r="I344" s="51" t="s">
        <v>3719</v>
      </c>
      <c r="J344" s="51" t="s">
        <v>3720</v>
      </c>
      <c r="K344" s="51" t="s">
        <v>3415</v>
      </c>
      <c r="L344" s="51" t="s">
        <v>3721</v>
      </c>
      <c r="M344" s="52" t="str">
        <f>HYPERLINK("https://hoatalk.com/topics/151649/va-developer-uses-hoa-as-instrument-and-locks-us-i","https://hoatalk.com/topics/151649/va-developer-uses-hoa-as-instrument-and-locks-us-i")</f>
        <v>https://hoatalk.com/topics/151649/va-developer-uses-hoa-as-instrument-and-locks-us-i</v>
      </c>
      <c r="N344" s="51" t="s">
        <v>3722</v>
      </c>
      <c r="O344" s="51" t="s">
        <v>3723</v>
      </c>
      <c r="P344" s="50" t="s">
        <v>413</v>
      </c>
      <c r="Q344" s="50" t="s">
        <v>23</v>
      </c>
    </row>
    <row r="345" spans="1:17" ht="179.75" customHeight="1" x14ac:dyDescent="0.35">
      <c r="A345" s="50" t="s">
        <v>3724</v>
      </c>
      <c r="B345" s="50" t="s">
        <v>107</v>
      </c>
      <c r="C345" s="51" t="s">
        <v>3538</v>
      </c>
      <c r="D345" s="51" t="s">
        <v>195</v>
      </c>
      <c r="E345" s="50" t="s">
        <v>3725</v>
      </c>
      <c r="F345" s="51" t="s">
        <v>3421</v>
      </c>
      <c r="G345" s="50" t="s">
        <v>3726</v>
      </c>
      <c r="H345" s="51" t="s">
        <v>3727</v>
      </c>
      <c r="I345" s="51" t="s">
        <v>3728</v>
      </c>
      <c r="J345" s="51" t="s">
        <v>3729</v>
      </c>
      <c r="K345" s="51" t="s">
        <v>3613</v>
      </c>
      <c r="L345" s="51" t="s">
        <v>3730</v>
      </c>
      <c r="M345" s="52" t="str">
        <f>HYPERLINK("https://www.reddit.com/r/fuckHOA/comments/151lttv","https://www.reddit.com/r/fuckHOA/comments/151lttv")</f>
        <v>https://www.reddit.com/r/fuckHOA/comments/151lttv</v>
      </c>
      <c r="N345" s="51" t="s">
        <v>131</v>
      </c>
      <c r="O345" s="51" t="s">
        <v>3731</v>
      </c>
      <c r="P345" s="50" t="s">
        <v>119</v>
      </c>
      <c r="Q345" s="50" t="s">
        <v>23</v>
      </c>
    </row>
    <row r="346" spans="1:17" ht="179.75" customHeight="1" x14ac:dyDescent="0.35">
      <c r="A346" s="53" t="s">
        <v>3732</v>
      </c>
      <c r="B346" s="53" t="s">
        <v>147</v>
      </c>
      <c r="C346" s="54" t="s">
        <v>147</v>
      </c>
      <c r="D346" s="54" t="s">
        <v>122</v>
      </c>
      <c r="E346" s="53" t="s">
        <v>3733</v>
      </c>
      <c r="F346" s="54" t="s">
        <v>111</v>
      </c>
      <c r="G346" s="53" t="s">
        <v>3734</v>
      </c>
      <c r="H346" s="54" t="s">
        <v>3735</v>
      </c>
      <c r="I346" s="54"/>
      <c r="J346" s="54" t="s">
        <v>3736</v>
      </c>
      <c r="K346" s="54" t="s">
        <v>115</v>
      </c>
      <c r="L346" s="54" t="s">
        <v>3737</v>
      </c>
      <c r="M346" s="55" t="str">
        <f>HYPERLINK("https://www.reddit.com/r/HOA/comments/1lgz8vr/thtx_board_president_screams_into_the_void/","https://www.reddit.com/r/HOA/comments/1lgz8vr/thtx_board_president_screams_into_the_void/")</f>
        <v>https://www.reddit.com/r/HOA/comments/1lgz8vr/thtx_board_president_screams_into_the_void/</v>
      </c>
      <c r="N346" s="54" t="s">
        <v>117</v>
      </c>
      <c r="O346" s="54" t="s">
        <v>3738</v>
      </c>
      <c r="P346" s="53" t="s">
        <v>119</v>
      </c>
      <c r="Q346" s="53" t="s">
        <v>26</v>
      </c>
    </row>
    <row r="347" spans="1:17" ht="179.75" customHeight="1" x14ac:dyDescent="0.35">
      <c r="A347" s="53" t="s">
        <v>3739</v>
      </c>
      <c r="B347" s="53" t="s">
        <v>147</v>
      </c>
      <c r="C347" s="54" t="s">
        <v>147</v>
      </c>
      <c r="D347" s="54" t="s">
        <v>122</v>
      </c>
      <c r="E347" s="53" t="s">
        <v>3740</v>
      </c>
      <c r="F347" s="54" t="s">
        <v>111</v>
      </c>
      <c r="G347" s="53" t="s">
        <v>3741</v>
      </c>
      <c r="H347" s="54" t="s">
        <v>3742</v>
      </c>
      <c r="I347" s="54" t="s">
        <v>3743</v>
      </c>
      <c r="J347" s="54" t="s">
        <v>3744</v>
      </c>
      <c r="K347" s="54" t="s">
        <v>115</v>
      </c>
      <c r="L347" s="54" t="s">
        <v>3745</v>
      </c>
      <c r="M347" s="55" t="str">
        <f>HYPERLINK("https://www.reddit.com/r/HOA/comments/1u0mj52/sfhwa_mad_homeowners_over_roberts_rules_during/","https://www.reddit.com/r/HOA/comments/1u0mj52/sfhwa_mad_homeowners_over_roberts_rules_during/")</f>
        <v>https://www.reddit.com/r/HOA/comments/1u0mj52/sfhwa_mad_homeowners_over_roberts_rules_during/</v>
      </c>
      <c r="N347" s="54" t="s">
        <v>117</v>
      </c>
      <c r="O347" s="54" t="s">
        <v>3738</v>
      </c>
      <c r="P347" s="53" t="s">
        <v>119</v>
      </c>
      <c r="Q347" s="53" t="s">
        <v>26</v>
      </c>
    </row>
    <row r="348" spans="1:17" ht="179.75" customHeight="1" x14ac:dyDescent="0.35">
      <c r="A348" s="53" t="s">
        <v>3746</v>
      </c>
      <c r="B348" s="53" t="s">
        <v>147</v>
      </c>
      <c r="C348" s="54" t="s">
        <v>147</v>
      </c>
      <c r="D348" s="54" t="s">
        <v>850</v>
      </c>
      <c r="E348" s="53" t="s">
        <v>3747</v>
      </c>
      <c r="F348" s="54" t="s">
        <v>111</v>
      </c>
      <c r="G348" s="53" t="s">
        <v>3748</v>
      </c>
      <c r="H348" s="54" t="s">
        <v>3749</v>
      </c>
      <c r="I348" s="54"/>
      <c r="J348" s="54" t="s">
        <v>3750</v>
      </c>
      <c r="K348" s="54" t="s">
        <v>115</v>
      </c>
      <c r="L348" s="54" t="s">
        <v>3751</v>
      </c>
      <c r="M348" s="55" t="str">
        <f>HYPERLINK("https://www.reddit.com/r/HOA/comments/1q3t0q6/ga_condo_hoa_board_politics_norms/","https://www.reddit.com/r/HOA/comments/1q3t0q6/ga_condo_hoa_board_politics_norms/")</f>
        <v>https://www.reddit.com/r/HOA/comments/1q3t0q6/ga_condo_hoa_board_politics_norms/</v>
      </c>
      <c r="N348" s="54" t="s">
        <v>117</v>
      </c>
      <c r="O348" s="54" t="s">
        <v>3738</v>
      </c>
      <c r="P348" s="53" t="s">
        <v>119</v>
      </c>
      <c r="Q348" s="53" t="s">
        <v>26</v>
      </c>
    </row>
    <row r="349" spans="1:17" ht="179.75" customHeight="1" x14ac:dyDescent="0.35">
      <c r="A349" s="53" t="s">
        <v>3752</v>
      </c>
      <c r="B349" s="53" t="s">
        <v>147</v>
      </c>
      <c r="C349" s="54" t="s">
        <v>147</v>
      </c>
      <c r="D349" s="54" t="s">
        <v>161</v>
      </c>
      <c r="E349" s="53" t="s">
        <v>3753</v>
      </c>
      <c r="F349" s="54" t="s">
        <v>111</v>
      </c>
      <c r="G349" s="53" t="s">
        <v>3754</v>
      </c>
      <c r="H349" s="54" t="s">
        <v>3755</v>
      </c>
      <c r="I349" s="54"/>
      <c r="J349" s="54" t="s">
        <v>3756</v>
      </c>
      <c r="K349" s="54" t="s">
        <v>115</v>
      </c>
      <c r="L349" s="54" t="s">
        <v>3757</v>
      </c>
      <c r="M349" s="55" t="str">
        <f>HYPERLINK("https://www.reddit.com/r/HOA/comments/17igis1/why_dontcant_hoa_board_members_get_paid/","https://www.reddit.com/r/HOA/comments/17igis1/why_dontcant_hoa_board_members_get_paid/")</f>
        <v>https://www.reddit.com/r/HOA/comments/17igis1/why_dontcant_hoa_board_members_get_paid/</v>
      </c>
      <c r="N349" s="54" t="s">
        <v>117</v>
      </c>
      <c r="O349" s="54" t="s">
        <v>3738</v>
      </c>
      <c r="P349" s="53" t="s">
        <v>119</v>
      </c>
      <c r="Q349" s="53" t="s">
        <v>26</v>
      </c>
    </row>
    <row r="350" spans="1:17" ht="179.75" customHeight="1" x14ac:dyDescent="0.35">
      <c r="A350" s="53" t="s">
        <v>3758</v>
      </c>
      <c r="B350" s="53" t="s">
        <v>147</v>
      </c>
      <c r="C350" s="54" t="s">
        <v>147</v>
      </c>
      <c r="D350" s="54" t="s">
        <v>161</v>
      </c>
      <c r="E350" s="53" t="s">
        <v>3759</v>
      </c>
      <c r="F350" s="54" t="s">
        <v>111</v>
      </c>
      <c r="G350" s="53" t="s">
        <v>3760</v>
      </c>
      <c r="H350" s="54" t="s">
        <v>3761</v>
      </c>
      <c r="I350" s="54"/>
      <c r="J350" s="54" t="s">
        <v>3762</v>
      </c>
      <c r="K350" s="54" t="s">
        <v>115</v>
      </c>
      <c r="L350" s="54" t="s">
        <v>3763</v>
      </c>
      <c r="M350" s="55" t="str">
        <f>HYPERLINK("https://www.reddit.com/r/fuckHOA/comments/1oknz4z/has_anyone_joined_their_hoa_in_an_attempt_to/","https://www.reddit.com/r/fuckHOA/comments/1oknz4z/has_anyone_joined_their_hoa_in_an_attempt_to/")</f>
        <v>https://www.reddit.com/r/fuckHOA/comments/1oknz4z/has_anyone_joined_their_hoa_in_an_attempt_to/</v>
      </c>
      <c r="N350" s="54" t="s">
        <v>117</v>
      </c>
      <c r="O350" s="54" t="s">
        <v>3738</v>
      </c>
      <c r="P350" s="53" t="s">
        <v>119</v>
      </c>
      <c r="Q350" s="53" t="s">
        <v>26</v>
      </c>
    </row>
    <row r="351" spans="1:17" ht="179.75" customHeight="1" x14ac:dyDescent="0.35">
      <c r="A351" s="53" t="s">
        <v>3764</v>
      </c>
      <c r="B351" s="53" t="s">
        <v>147</v>
      </c>
      <c r="C351" s="54" t="s">
        <v>147</v>
      </c>
      <c r="D351" s="54" t="s">
        <v>122</v>
      </c>
      <c r="E351" s="53" t="s">
        <v>3765</v>
      </c>
      <c r="F351" s="54" t="s">
        <v>111</v>
      </c>
      <c r="G351" s="53" t="s">
        <v>3766</v>
      </c>
      <c r="H351" s="54" t="s">
        <v>3767</v>
      </c>
      <c r="I351" s="54"/>
      <c r="J351" s="54" t="s">
        <v>3768</v>
      </c>
      <c r="K351" s="54" t="s">
        <v>115</v>
      </c>
      <c r="L351" s="54" t="s">
        <v>3769</v>
      </c>
      <c r="M351" s="55" t="str">
        <f>HYPERLINK("https://www.reddit.com/r/fuckHOA/comments/vj36ux/i_sued_my_hoa_and_won/","https://www.reddit.com/r/fuckHOA/comments/vj36ux/i_sued_my_hoa_and_won/")</f>
        <v>https://www.reddit.com/r/fuckHOA/comments/vj36ux/i_sued_my_hoa_and_won/</v>
      </c>
      <c r="N351" s="54" t="s">
        <v>117</v>
      </c>
      <c r="O351" s="54" t="s">
        <v>3738</v>
      </c>
      <c r="P351" s="53" t="s">
        <v>119</v>
      </c>
      <c r="Q351" s="53" t="s">
        <v>26</v>
      </c>
    </row>
    <row r="352" spans="1:17" ht="179.75" customHeight="1" x14ac:dyDescent="0.35">
      <c r="A352" s="53" t="s">
        <v>3770</v>
      </c>
      <c r="B352" s="53" t="s">
        <v>147</v>
      </c>
      <c r="C352" s="54" t="s">
        <v>147</v>
      </c>
      <c r="D352" s="54" t="s">
        <v>195</v>
      </c>
      <c r="E352" s="53" t="s">
        <v>3771</v>
      </c>
      <c r="F352" s="54" t="s">
        <v>111</v>
      </c>
      <c r="G352" s="53" t="s">
        <v>3772</v>
      </c>
      <c r="H352" s="54" t="s">
        <v>3773</v>
      </c>
      <c r="I352" s="54"/>
      <c r="J352" s="54" t="s">
        <v>3774</v>
      </c>
      <c r="K352" s="54" t="s">
        <v>115</v>
      </c>
      <c r="L352" s="54" t="s">
        <v>3775</v>
      </c>
      <c r="M352" s="55" t="str">
        <f>HYPERLINK("https://www.reddit.com/r/HOA/comments/1rqy0fw/vendor_gifts_to_hoa_managers_is_there_a_line_ca/","https://www.reddit.com/r/HOA/comments/1rqy0fw/vendor_gifts_to_hoa_managers_is_there_a_line_ca/")</f>
        <v>https://www.reddit.com/r/HOA/comments/1rqy0fw/vendor_gifts_to_hoa_managers_is_there_a_line_ca/</v>
      </c>
      <c r="N352" s="54" t="s">
        <v>117</v>
      </c>
      <c r="O352" s="54" t="s">
        <v>3738</v>
      </c>
      <c r="P352" s="53" t="s">
        <v>119</v>
      </c>
      <c r="Q352" s="53" t="s">
        <v>26</v>
      </c>
    </row>
    <row r="353" spans="1:17" ht="179.75" customHeight="1" x14ac:dyDescent="0.35">
      <c r="A353" s="53" t="s">
        <v>3776</v>
      </c>
      <c r="B353" s="53" t="s">
        <v>147</v>
      </c>
      <c r="C353" s="54" t="s">
        <v>3777</v>
      </c>
      <c r="D353" s="54" t="s">
        <v>705</v>
      </c>
      <c r="E353" s="53"/>
      <c r="F353" s="54"/>
      <c r="G353" s="53" t="s">
        <v>3778</v>
      </c>
      <c r="H353" s="54" t="s">
        <v>3779</v>
      </c>
      <c r="I353" s="54" t="s">
        <v>3780</v>
      </c>
      <c r="J353" s="54" t="s">
        <v>3781</v>
      </c>
      <c r="K353" s="54" t="s">
        <v>3782</v>
      </c>
      <c r="L353" s="54" t="s">
        <v>3783</v>
      </c>
      <c r="M353" s="55" t="str">
        <f>HYPERLINK("https://www.reddit.com/r/HOA/comments/13o0t2l","https://www.reddit.com/r/HOA/comments/13o0t2l")</f>
        <v>https://www.reddit.com/r/HOA/comments/13o0t2l</v>
      </c>
      <c r="N353" s="54" t="s">
        <v>3784</v>
      </c>
      <c r="O353" s="54" t="s">
        <v>3785</v>
      </c>
      <c r="P353" s="53" t="s">
        <v>119</v>
      </c>
      <c r="Q353" s="53" t="s">
        <v>26</v>
      </c>
    </row>
    <row r="354" spans="1:17" ht="179.75" customHeight="1" x14ac:dyDescent="0.35">
      <c r="A354" s="53" t="s">
        <v>3786</v>
      </c>
      <c r="B354" s="53" t="s">
        <v>147</v>
      </c>
      <c r="C354" s="54" t="s">
        <v>3777</v>
      </c>
      <c r="D354" s="54" t="s">
        <v>161</v>
      </c>
      <c r="E354" s="53"/>
      <c r="F354" s="54"/>
      <c r="G354" s="53" t="s">
        <v>3787</v>
      </c>
      <c r="H354" s="54" t="s">
        <v>3788</v>
      </c>
      <c r="I354" s="54" t="s">
        <v>3789</v>
      </c>
      <c r="J354" s="54" t="s">
        <v>3790</v>
      </c>
      <c r="K354" s="54" t="s">
        <v>3782</v>
      </c>
      <c r="L354" s="54" t="s">
        <v>3791</v>
      </c>
      <c r="M354" s="55" t="str">
        <f>HYPERLINK("https://www.reddit.com/r/HOA/comments/ib477z","https://www.reddit.com/r/HOA/comments/ib477z")</f>
        <v>https://www.reddit.com/r/HOA/comments/ib477z</v>
      </c>
      <c r="N354" s="54" t="s">
        <v>3784</v>
      </c>
      <c r="O354" s="54" t="s">
        <v>3792</v>
      </c>
      <c r="P354" s="53" t="s">
        <v>119</v>
      </c>
      <c r="Q354" s="53" t="s">
        <v>26</v>
      </c>
    </row>
    <row r="355" spans="1:17" ht="179.75" customHeight="1" x14ac:dyDescent="0.35">
      <c r="A355" s="53" t="s">
        <v>3793</v>
      </c>
      <c r="B355" s="53" t="s">
        <v>147</v>
      </c>
      <c r="C355" s="54" t="s">
        <v>3794</v>
      </c>
      <c r="D355" s="54" t="s">
        <v>1560</v>
      </c>
      <c r="E355" s="53"/>
      <c r="F355" s="54"/>
      <c r="G355" s="53" t="s">
        <v>3795</v>
      </c>
      <c r="H355" s="54" t="s">
        <v>3796</v>
      </c>
      <c r="I355" s="54" t="s">
        <v>3797</v>
      </c>
      <c r="J355" s="54" t="s">
        <v>3790</v>
      </c>
      <c r="K355" s="54" t="s">
        <v>3782</v>
      </c>
      <c r="L355" s="54" t="s">
        <v>3798</v>
      </c>
      <c r="M355" s="55" t="str">
        <f>HYPERLINK("https://www.reddit.com/r/HOA/comments/1hqp37y","https://www.reddit.com/r/HOA/comments/1hqp37y")</f>
        <v>https://www.reddit.com/r/HOA/comments/1hqp37y</v>
      </c>
      <c r="N355" s="54" t="s">
        <v>3784</v>
      </c>
      <c r="O355" s="54" t="s">
        <v>3799</v>
      </c>
      <c r="P355" s="53" t="s">
        <v>119</v>
      </c>
      <c r="Q355" s="53" t="s">
        <v>26</v>
      </c>
    </row>
    <row r="356" spans="1:17" ht="179.75" customHeight="1" x14ac:dyDescent="0.35">
      <c r="A356" s="53" t="s">
        <v>3800</v>
      </c>
      <c r="B356" s="53" t="s">
        <v>147</v>
      </c>
      <c r="C356" s="54" t="s">
        <v>3777</v>
      </c>
      <c r="D356" s="54" t="s">
        <v>161</v>
      </c>
      <c r="E356" s="53"/>
      <c r="F356" s="54"/>
      <c r="G356" s="53" t="s">
        <v>3801</v>
      </c>
      <c r="H356" s="54" t="s">
        <v>3802</v>
      </c>
      <c r="I356" s="54" t="s">
        <v>3803</v>
      </c>
      <c r="J356" s="54" t="s">
        <v>3781</v>
      </c>
      <c r="K356" s="54" t="s">
        <v>3782</v>
      </c>
      <c r="L356" s="54" t="s">
        <v>3804</v>
      </c>
      <c r="M356" s="55" t="str">
        <f>HYPERLINK("https://www.reddit.com/r/HOA/comments/13qjqys","https://www.reddit.com/r/HOA/comments/13qjqys")</f>
        <v>https://www.reddit.com/r/HOA/comments/13qjqys</v>
      </c>
      <c r="N356" s="54" t="s">
        <v>3784</v>
      </c>
      <c r="O356" s="54" t="s">
        <v>3805</v>
      </c>
      <c r="P356" s="53" t="s">
        <v>119</v>
      </c>
      <c r="Q356" s="53" t="s">
        <v>26</v>
      </c>
    </row>
    <row r="357" spans="1:17" ht="179.75" customHeight="1" x14ac:dyDescent="0.35">
      <c r="A357" s="53" t="s">
        <v>3806</v>
      </c>
      <c r="B357" s="53" t="s">
        <v>147</v>
      </c>
      <c r="C357" s="54" t="s">
        <v>3777</v>
      </c>
      <c r="D357" s="54" t="s">
        <v>161</v>
      </c>
      <c r="E357" s="53" t="s">
        <v>3807</v>
      </c>
      <c r="F357" s="54" t="s">
        <v>3148</v>
      </c>
      <c r="G357" s="53" t="s">
        <v>3808</v>
      </c>
      <c r="H357" s="54" t="s">
        <v>3809</v>
      </c>
      <c r="I357" s="54" t="s">
        <v>3810</v>
      </c>
      <c r="J357" s="54" t="s">
        <v>3163</v>
      </c>
      <c r="K357" s="54" t="s">
        <v>3164</v>
      </c>
      <c r="L357" s="54" t="s">
        <v>3811</v>
      </c>
      <c r="M357" s="55" t="str">
        <f>HYPERLINK("https://www.hoatalk.com/topics/131469/vender-contracts","https://www.hoatalk.com/topics/131469/vender-contracts")</f>
        <v>https://www.hoatalk.com/topics/131469/vender-contracts</v>
      </c>
      <c r="N357" s="54" t="s">
        <v>204</v>
      </c>
      <c r="O357" s="54" t="s">
        <v>3812</v>
      </c>
      <c r="P357" s="53" t="s">
        <v>119</v>
      </c>
      <c r="Q357" s="53" t="s">
        <v>26</v>
      </c>
    </row>
    <row r="358" spans="1:17" ht="179.75" customHeight="1" x14ac:dyDescent="0.35">
      <c r="A358" s="53" t="s">
        <v>3813</v>
      </c>
      <c r="B358" s="53" t="s">
        <v>147</v>
      </c>
      <c r="C358" s="54" t="s">
        <v>3814</v>
      </c>
      <c r="D358" s="54" t="s">
        <v>122</v>
      </c>
      <c r="E358" s="53" t="s">
        <v>3807</v>
      </c>
      <c r="F358" s="54" t="s">
        <v>3148</v>
      </c>
      <c r="G358" s="53" t="s">
        <v>3815</v>
      </c>
      <c r="H358" s="54" t="s">
        <v>3816</v>
      </c>
      <c r="I358" s="54" t="s">
        <v>3817</v>
      </c>
      <c r="J358" s="54" t="s">
        <v>3818</v>
      </c>
      <c r="K358" s="54" t="s">
        <v>129</v>
      </c>
      <c r="L358" s="54" t="s">
        <v>3819</v>
      </c>
      <c r="M358" s="55" t="str">
        <f>HYPERLINK("https://www.reddit.com/r/HOA/comments/1syndtg/txall_hoa_board_as_cpa/","https://www.reddit.com/r/HOA/comments/1syndtg/txall_hoa_board_as_cpa/")</f>
        <v>https://www.reddit.com/r/HOA/comments/1syndtg/txall_hoa_board_as_cpa/</v>
      </c>
      <c r="N358" s="54" t="s">
        <v>204</v>
      </c>
      <c r="O358" s="54" t="s">
        <v>3820</v>
      </c>
      <c r="P358" s="53" t="s">
        <v>119</v>
      </c>
      <c r="Q358" s="53" t="s">
        <v>26</v>
      </c>
    </row>
    <row r="359" spans="1:17" ht="179.75" customHeight="1" x14ac:dyDescent="0.35">
      <c r="A359" s="53" t="s">
        <v>3821</v>
      </c>
      <c r="B359" s="53" t="s">
        <v>147</v>
      </c>
      <c r="C359" s="54" t="s">
        <v>3822</v>
      </c>
      <c r="D359" s="54" t="s">
        <v>122</v>
      </c>
      <c r="E359" s="53" t="s">
        <v>3807</v>
      </c>
      <c r="F359" s="54" t="s">
        <v>3148</v>
      </c>
      <c r="G359" s="53" t="s">
        <v>3823</v>
      </c>
      <c r="H359" s="54" t="s">
        <v>3824</v>
      </c>
      <c r="I359" s="54" t="s">
        <v>3825</v>
      </c>
      <c r="J359" s="54" t="s">
        <v>3826</v>
      </c>
      <c r="K359" s="54" t="s">
        <v>129</v>
      </c>
      <c r="L359" s="54" t="s">
        <v>3827</v>
      </c>
      <c r="M359" s="55" t="str">
        <f>HYPERLINK("https://www.reddit.com/r/HOA/comments/1ohzk26/txcoop_hoa_management_company_quit/","https://www.reddit.com/r/HOA/comments/1ohzk26/txcoop_hoa_management_company_quit/")</f>
        <v>https://www.reddit.com/r/HOA/comments/1ohzk26/txcoop_hoa_management_company_quit/</v>
      </c>
      <c r="N359" s="54" t="s">
        <v>204</v>
      </c>
      <c r="O359" s="54" t="s">
        <v>3828</v>
      </c>
      <c r="P359" s="53" t="s">
        <v>119</v>
      </c>
      <c r="Q359" s="53" t="s">
        <v>26</v>
      </c>
    </row>
    <row r="360" spans="1:17" ht="179.75" customHeight="1" x14ac:dyDescent="0.35">
      <c r="A360" s="53" t="s">
        <v>3829</v>
      </c>
      <c r="B360" s="53" t="s">
        <v>147</v>
      </c>
      <c r="C360" s="54" t="s">
        <v>3830</v>
      </c>
      <c r="D360" s="54" t="s">
        <v>705</v>
      </c>
      <c r="E360" s="53" t="s">
        <v>3807</v>
      </c>
      <c r="F360" s="54" t="s">
        <v>3148</v>
      </c>
      <c r="G360" s="53" t="s">
        <v>3831</v>
      </c>
      <c r="H360" s="54" t="s">
        <v>3832</v>
      </c>
      <c r="I360" s="54" t="s">
        <v>3833</v>
      </c>
      <c r="J360" s="54" t="s">
        <v>3834</v>
      </c>
      <c r="K360" s="54" t="s">
        <v>129</v>
      </c>
      <c r="L360" s="54" t="s">
        <v>3835</v>
      </c>
      <c r="M360" s="55" t="str">
        <f>HYPERLINK("https://www.reddit.com/r/HOA/comments/11diszl","https://www.reddit.com/r/HOA/comments/11diszl")</f>
        <v>https://www.reddit.com/r/HOA/comments/11diszl</v>
      </c>
      <c r="N360" s="54" t="s">
        <v>204</v>
      </c>
      <c r="O360" s="54" t="s">
        <v>3836</v>
      </c>
      <c r="P360" s="53" t="s">
        <v>119</v>
      </c>
      <c r="Q360" s="53" t="s">
        <v>26</v>
      </c>
    </row>
    <row r="361" spans="1:17" ht="179.75" customHeight="1" x14ac:dyDescent="0.35">
      <c r="A361" s="53" t="s">
        <v>3837</v>
      </c>
      <c r="B361" s="53" t="s">
        <v>147</v>
      </c>
      <c r="C361" s="54" t="s">
        <v>3838</v>
      </c>
      <c r="D361" s="54" t="s">
        <v>161</v>
      </c>
      <c r="E361" s="53" t="s">
        <v>3839</v>
      </c>
      <c r="F361" s="54" t="s">
        <v>3840</v>
      </c>
      <c r="G361" s="53" t="s">
        <v>3841</v>
      </c>
      <c r="H361" s="54" t="s">
        <v>3842</v>
      </c>
      <c r="I361" s="54" t="s">
        <v>176</v>
      </c>
      <c r="J361" s="54" t="s">
        <v>3843</v>
      </c>
      <c r="K361" s="54" t="s">
        <v>3164</v>
      </c>
      <c r="L361" s="54" t="s">
        <v>3844</v>
      </c>
      <c r="M361" s="55" t="str">
        <f>HYPERLINK("https://hoatalk.com/topics/286751/management-companies","https://hoatalk.com/topics/286751/management-companies")</f>
        <v>https://hoatalk.com/topics/286751/management-companies</v>
      </c>
      <c r="N361" s="54" t="s">
        <v>179</v>
      </c>
      <c r="O361" s="54" t="s">
        <v>3845</v>
      </c>
      <c r="P361" s="53" t="s">
        <v>119</v>
      </c>
      <c r="Q361" s="53" t="s">
        <v>26</v>
      </c>
    </row>
    <row r="362" spans="1:17" ht="179.75" customHeight="1" x14ac:dyDescent="0.35">
      <c r="A362" s="53" t="s">
        <v>3846</v>
      </c>
      <c r="B362" s="53" t="s">
        <v>147</v>
      </c>
      <c r="C362" s="54" t="s">
        <v>3847</v>
      </c>
      <c r="D362" s="54" t="s">
        <v>122</v>
      </c>
      <c r="E362" s="53" t="s">
        <v>3807</v>
      </c>
      <c r="F362" s="54" t="s">
        <v>3148</v>
      </c>
      <c r="G362" s="53" t="s">
        <v>3848</v>
      </c>
      <c r="H362" s="54" t="s">
        <v>3849</v>
      </c>
      <c r="I362" s="54" t="s">
        <v>3850</v>
      </c>
      <c r="J362" s="54" t="s">
        <v>3851</v>
      </c>
      <c r="K362" s="54" t="s">
        <v>3164</v>
      </c>
      <c r="L362" s="54" t="s">
        <v>3852</v>
      </c>
      <c r="M362" s="55" t="str">
        <f>HYPERLINK("https://hoatalk.com/topics/314501/billing-dispute","https://hoatalk.com/topics/314501/billing-dispute")</f>
        <v>https://hoatalk.com/topics/314501/billing-dispute</v>
      </c>
      <c r="N362" s="54" t="s">
        <v>204</v>
      </c>
      <c r="O362" s="54" t="s">
        <v>3853</v>
      </c>
      <c r="P362" s="53" t="s">
        <v>119</v>
      </c>
      <c r="Q362" s="53" t="s">
        <v>26</v>
      </c>
    </row>
    <row r="363" spans="1:17" ht="179.75" customHeight="1" x14ac:dyDescent="0.35">
      <c r="A363" s="53" t="s">
        <v>3854</v>
      </c>
      <c r="B363" s="53" t="s">
        <v>218</v>
      </c>
      <c r="C363" s="54" t="s">
        <v>3855</v>
      </c>
      <c r="D363" s="54" t="s">
        <v>705</v>
      </c>
      <c r="E363" s="53" t="s">
        <v>3856</v>
      </c>
      <c r="F363" s="54" t="s">
        <v>3857</v>
      </c>
      <c r="G363" s="53" t="s">
        <v>3858</v>
      </c>
      <c r="H363" s="54" t="s">
        <v>3859</v>
      </c>
      <c r="I363" s="54" t="s">
        <v>3860</v>
      </c>
      <c r="J363" s="54" t="s">
        <v>3861</v>
      </c>
      <c r="K363" s="54" t="s">
        <v>3862</v>
      </c>
      <c r="L363" s="54" t="s">
        <v>3863</v>
      </c>
      <c r="M363" s="55" t="str">
        <f>HYPERLINK("https://www.cai-rmc.org/Blog/13626433","https://www.cai-rmc.org/Blog/13626433")</f>
        <v>https://www.cai-rmc.org/Blog/13626433</v>
      </c>
      <c r="N363" s="54" t="s">
        <v>169</v>
      </c>
      <c r="O363" s="54" t="s">
        <v>3864</v>
      </c>
      <c r="P363" s="53" t="s">
        <v>119</v>
      </c>
      <c r="Q363" s="53" t="s">
        <v>26</v>
      </c>
    </row>
    <row r="364" spans="1:17" ht="179.75" customHeight="1" x14ac:dyDescent="0.35">
      <c r="A364" s="53" t="s">
        <v>3865</v>
      </c>
      <c r="B364" s="53" t="s">
        <v>147</v>
      </c>
      <c r="C364" s="54" t="s">
        <v>3777</v>
      </c>
      <c r="D364" s="54" t="s">
        <v>195</v>
      </c>
      <c r="E364" s="53" t="s">
        <v>3866</v>
      </c>
      <c r="F364" s="54" t="s">
        <v>3540</v>
      </c>
      <c r="G364" s="53" t="s">
        <v>3867</v>
      </c>
      <c r="H364" s="54" t="s">
        <v>3868</v>
      </c>
      <c r="I364" s="54" t="s">
        <v>3869</v>
      </c>
      <c r="J364" s="54" t="s">
        <v>3163</v>
      </c>
      <c r="K364" s="54" t="s">
        <v>129</v>
      </c>
      <c r="L364" s="54" t="s">
        <v>3870</v>
      </c>
      <c r="M364" s="55" t="str">
        <f>HYPERLINK("https://www.reddit.com/r/HOA/comments/1hhirle","https://www.reddit.com/r/HOA/comments/1hhirle")</f>
        <v>https://www.reddit.com/r/HOA/comments/1hhirle</v>
      </c>
      <c r="N364" s="54" t="s">
        <v>204</v>
      </c>
      <c r="O364" s="54" t="s">
        <v>3871</v>
      </c>
      <c r="P364" s="53" t="s">
        <v>3463</v>
      </c>
      <c r="Q364" s="53" t="s">
        <v>26</v>
      </c>
    </row>
    <row r="365" spans="1:17" ht="179.75" customHeight="1" x14ac:dyDescent="0.35">
      <c r="A365" s="53" t="s">
        <v>3872</v>
      </c>
      <c r="B365" s="53" t="s">
        <v>147</v>
      </c>
      <c r="C365" s="54" t="s">
        <v>3777</v>
      </c>
      <c r="D365" s="54" t="s">
        <v>517</v>
      </c>
      <c r="E365" s="53" t="s">
        <v>3873</v>
      </c>
      <c r="F365" s="54" t="s">
        <v>3874</v>
      </c>
      <c r="G365" s="53" t="s">
        <v>3875</v>
      </c>
      <c r="H365" s="54" t="s">
        <v>3876</v>
      </c>
      <c r="I365" s="54" t="s">
        <v>3877</v>
      </c>
      <c r="J365" s="54" t="s">
        <v>3878</v>
      </c>
      <c r="K365" s="54" t="s">
        <v>129</v>
      </c>
      <c r="L365" s="54" t="s">
        <v>3879</v>
      </c>
      <c r="M365" s="55" t="str">
        <f>HYPERLINK("https://www.reddit.com/r/HOA/comments/1m0k5vx","https://www.reddit.com/r/HOA/comments/1m0k5vx")</f>
        <v>https://www.reddit.com/r/HOA/comments/1m0k5vx</v>
      </c>
      <c r="N365" s="54" t="s">
        <v>169</v>
      </c>
      <c r="O365" s="54" t="s">
        <v>3880</v>
      </c>
      <c r="P365" s="53" t="s">
        <v>119</v>
      </c>
      <c r="Q365" s="53" t="s">
        <v>26</v>
      </c>
    </row>
    <row r="366" spans="1:17" ht="179.75" customHeight="1" x14ac:dyDescent="0.35">
      <c r="A366" s="53" t="s">
        <v>3881</v>
      </c>
      <c r="B366" s="53" t="s">
        <v>147</v>
      </c>
      <c r="C366" s="54" t="s">
        <v>3777</v>
      </c>
      <c r="D366" s="54" t="s">
        <v>296</v>
      </c>
      <c r="E366" s="53" t="s">
        <v>3807</v>
      </c>
      <c r="F366" s="54" t="s">
        <v>3148</v>
      </c>
      <c r="G366" s="53" t="s">
        <v>3882</v>
      </c>
      <c r="H366" s="54" t="s">
        <v>3883</v>
      </c>
      <c r="I366" s="54" t="s">
        <v>3884</v>
      </c>
      <c r="J366" s="54" t="s">
        <v>3885</v>
      </c>
      <c r="K366" s="54" t="s">
        <v>129</v>
      </c>
      <c r="L366" s="54" t="s">
        <v>3886</v>
      </c>
      <c r="M366" s="55" t="str">
        <f>HYPERLINK("https://www.reddit.com/r/HOA/comments/1hi15ik","https://www.reddit.com/r/HOA/comments/1hi15ik")</f>
        <v>https://www.reddit.com/r/HOA/comments/1hi15ik</v>
      </c>
      <c r="N366" s="54" t="s">
        <v>169</v>
      </c>
      <c r="O366" s="54" t="s">
        <v>3887</v>
      </c>
      <c r="P366" s="53" t="s">
        <v>119</v>
      </c>
      <c r="Q366" s="53" t="s">
        <v>26</v>
      </c>
    </row>
    <row r="367" spans="1:17" ht="179.75" customHeight="1" x14ac:dyDescent="0.35">
      <c r="A367" s="53" t="s">
        <v>3888</v>
      </c>
      <c r="B367" s="53" t="s">
        <v>147</v>
      </c>
      <c r="C367" s="54" t="s">
        <v>3889</v>
      </c>
      <c r="D367" s="54" t="s">
        <v>195</v>
      </c>
      <c r="E367" s="53" t="s">
        <v>3890</v>
      </c>
      <c r="F367" s="54" t="s">
        <v>3148</v>
      </c>
      <c r="G367" s="53" t="s">
        <v>3891</v>
      </c>
      <c r="H367" s="54" t="s">
        <v>3892</v>
      </c>
      <c r="I367" s="54" t="s">
        <v>3893</v>
      </c>
      <c r="J367" s="54" t="s">
        <v>3894</v>
      </c>
      <c r="K367" s="54" t="s">
        <v>129</v>
      </c>
      <c r="L367" s="54" t="s">
        <v>3895</v>
      </c>
      <c r="M367" s="55" t="str">
        <f>HYPERLINK("https://www.reddit.com/r/HOA/comments/1gm4uv9","https://www.reddit.com/r/HOA/comments/1gm4uv9")</f>
        <v>https://www.reddit.com/r/HOA/comments/1gm4uv9</v>
      </c>
      <c r="N367" s="54" t="s">
        <v>204</v>
      </c>
      <c r="O367" s="54" t="s">
        <v>3896</v>
      </c>
      <c r="P367" s="53" t="s">
        <v>119</v>
      </c>
      <c r="Q367" s="53" t="s">
        <v>26</v>
      </c>
    </row>
    <row r="368" spans="1:17" ht="179.75" customHeight="1" x14ac:dyDescent="0.35">
      <c r="A368" s="53" t="s">
        <v>3897</v>
      </c>
      <c r="B368" s="53" t="s">
        <v>147</v>
      </c>
      <c r="C368" s="54" t="s">
        <v>3847</v>
      </c>
      <c r="D368" s="54" t="s">
        <v>850</v>
      </c>
      <c r="E368" s="53" t="s">
        <v>3898</v>
      </c>
      <c r="F368" s="54" t="s">
        <v>3899</v>
      </c>
      <c r="G368" s="53" t="s">
        <v>3900</v>
      </c>
      <c r="H368" s="54" t="s">
        <v>3901</v>
      </c>
      <c r="I368" s="54" t="s">
        <v>176</v>
      </c>
      <c r="J368" s="54" t="s">
        <v>3902</v>
      </c>
      <c r="K368" s="54" t="s">
        <v>3903</v>
      </c>
      <c r="L368" s="54" t="s">
        <v>3904</v>
      </c>
      <c r="M368" s="55" t="str">
        <f>HYPERLINK("https://www.avvo.com/legal-answers/i-am-currently-the-treasurer-of-my-hoa-do-i-have-t-6166939.html","https://www.avvo.com/legal-answers/i-am-currently-the-treasurer-of-my-hoa-do-i-have-t-6166939.html")</f>
        <v>https://www.avvo.com/legal-answers/i-am-currently-the-treasurer-of-my-hoa-do-i-have-t-6166939.html</v>
      </c>
      <c r="N368" s="54" t="s">
        <v>169</v>
      </c>
      <c r="O368" s="54" t="s">
        <v>3905</v>
      </c>
      <c r="P368" s="53" t="s">
        <v>119</v>
      </c>
      <c r="Q368" s="53" t="s">
        <v>26</v>
      </c>
    </row>
    <row r="369" spans="1:17" ht="179.75" customHeight="1" x14ac:dyDescent="0.35">
      <c r="A369" s="53" t="s">
        <v>3906</v>
      </c>
      <c r="B369" s="53" t="s">
        <v>147</v>
      </c>
      <c r="C369" s="54" t="s">
        <v>3777</v>
      </c>
      <c r="D369" s="54" t="s">
        <v>122</v>
      </c>
      <c r="E369" s="53" t="s">
        <v>3907</v>
      </c>
      <c r="F369" s="54" t="s">
        <v>3908</v>
      </c>
      <c r="G369" s="53" t="s">
        <v>3909</v>
      </c>
      <c r="H369" s="54" t="s">
        <v>3910</v>
      </c>
      <c r="I369" s="54" t="s">
        <v>176</v>
      </c>
      <c r="J369" s="54" t="s">
        <v>3364</v>
      </c>
      <c r="K369" s="54" t="s">
        <v>3164</v>
      </c>
      <c r="L369" s="54" t="s">
        <v>3911</v>
      </c>
      <c r="M369" s="55" t="str">
        <f>HYPERLINK("https://hoatalk.com/topics/155057/board-member-conflict-of-interest","https://hoatalk.com/topics/155057/board-member-conflict-of-interest")</f>
        <v>https://hoatalk.com/topics/155057/board-member-conflict-of-interest</v>
      </c>
      <c r="N369" s="54" t="s">
        <v>169</v>
      </c>
      <c r="O369" s="54" t="s">
        <v>3912</v>
      </c>
      <c r="P369" s="53" t="s">
        <v>119</v>
      </c>
      <c r="Q369" s="53" t="s">
        <v>26</v>
      </c>
    </row>
    <row r="370" spans="1:17" ht="179.75" customHeight="1" x14ac:dyDescent="0.35">
      <c r="A370" s="53" t="s">
        <v>3913</v>
      </c>
      <c r="B370" s="53" t="s">
        <v>147</v>
      </c>
      <c r="C370" s="54" t="s">
        <v>3914</v>
      </c>
      <c r="D370" s="54" t="s">
        <v>161</v>
      </c>
      <c r="E370" s="53" t="s">
        <v>3915</v>
      </c>
      <c r="F370" s="54" t="s">
        <v>3916</v>
      </c>
      <c r="G370" s="53" t="s">
        <v>3917</v>
      </c>
      <c r="H370" s="54" t="s">
        <v>3918</v>
      </c>
      <c r="I370" s="54" t="s">
        <v>3919</v>
      </c>
      <c r="J370" s="54" t="s">
        <v>3217</v>
      </c>
      <c r="K370" s="54" t="s">
        <v>3142</v>
      </c>
      <c r="L370" s="54" t="s">
        <v>3920</v>
      </c>
      <c r="M370" s="55" t="str">
        <f>HYPERLINK("https://www.condoassociation.com/blog/is-property-manager-getting-kickbacks","https://www.condoassociation.com/blog/is-property-manager-getting-kickbacks")</f>
        <v>https://www.condoassociation.com/blog/is-property-manager-getting-kickbacks</v>
      </c>
      <c r="N370" s="54" t="s">
        <v>179</v>
      </c>
      <c r="O370" s="54" t="s">
        <v>3921</v>
      </c>
      <c r="P370" s="53" t="s">
        <v>119</v>
      </c>
      <c r="Q370" s="53" t="s">
        <v>26</v>
      </c>
    </row>
    <row r="371" spans="1:17" ht="179.75" customHeight="1" x14ac:dyDescent="0.35">
      <c r="A371" s="53" t="s">
        <v>3922</v>
      </c>
      <c r="B371" s="53" t="s">
        <v>218</v>
      </c>
      <c r="C371" s="54" t="s">
        <v>3923</v>
      </c>
      <c r="D371" s="54" t="s">
        <v>161</v>
      </c>
      <c r="E371" s="53" t="s">
        <v>3924</v>
      </c>
      <c r="F371" s="54" t="s">
        <v>3925</v>
      </c>
      <c r="G371" s="53" t="s">
        <v>3926</v>
      </c>
      <c r="H371" s="54" t="s">
        <v>3927</v>
      </c>
      <c r="I371" s="54" t="s">
        <v>3928</v>
      </c>
      <c r="J371" s="54" t="s">
        <v>3929</v>
      </c>
      <c r="K371" s="54" t="s">
        <v>129</v>
      </c>
      <c r="L371" s="54" t="s">
        <v>3930</v>
      </c>
      <c r="M371" s="55" t="str">
        <f>HYPERLINK("https://www.reddit.com/r/fuckHOA/comments/1158x7w","https://www.reddit.com/r/fuckHOA/comments/1158x7w")</f>
        <v>https://www.reddit.com/r/fuckHOA/comments/1158x7w</v>
      </c>
      <c r="N371" s="54" t="s">
        <v>169</v>
      </c>
      <c r="O371" s="54" t="s">
        <v>3931</v>
      </c>
      <c r="P371" s="53" t="s">
        <v>119</v>
      </c>
      <c r="Q371" s="53" t="s">
        <v>26</v>
      </c>
    </row>
    <row r="372" spans="1:17" ht="179.75" customHeight="1" x14ac:dyDescent="0.35">
      <c r="A372" s="53" t="s">
        <v>3932</v>
      </c>
      <c r="B372" s="53" t="s">
        <v>147</v>
      </c>
      <c r="C372" s="54" t="s">
        <v>3777</v>
      </c>
      <c r="D372" s="54" t="s">
        <v>122</v>
      </c>
      <c r="E372" s="53" t="s">
        <v>3933</v>
      </c>
      <c r="F372" s="54" t="s">
        <v>3421</v>
      </c>
      <c r="G372" s="53" t="s">
        <v>3934</v>
      </c>
      <c r="H372" s="54" t="s">
        <v>3935</v>
      </c>
      <c r="I372" s="54" t="s">
        <v>176</v>
      </c>
      <c r="J372" s="54" t="s">
        <v>3936</v>
      </c>
      <c r="K372" s="54" t="s">
        <v>129</v>
      </c>
      <c r="L372" s="54" t="s">
        <v>3937</v>
      </c>
      <c r="M372" s="55" t="str">
        <f>HYPERLINK("https://www.reddit.com/r/HOA/comments/1in35ff","https://www.reddit.com/r/HOA/comments/1in35ff")</f>
        <v>https://www.reddit.com/r/HOA/comments/1in35ff</v>
      </c>
      <c r="N372" s="54" t="s">
        <v>204</v>
      </c>
      <c r="O372" s="54" t="s">
        <v>3938</v>
      </c>
      <c r="P372" s="53" t="s">
        <v>119</v>
      </c>
      <c r="Q372" s="53" t="s">
        <v>26</v>
      </c>
    </row>
    <row r="373" spans="1:17" ht="179.75" customHeight="1" x14ac:dyDescent="0.35">
      <c r="A373" s="53" t="s">
        <v>3939</v>
      </c>
      <c r="B373" s="53" t="s">
        <v>107</v>
      </c>
      <c r="C373" s="54" t="s">
        <v>3940</v>
      </c>
      <c r="D373" s="54" t="s">
        <v>161</v>
      </c>
      <c r="E373" s="53" t="s">
        <v>3941</v>
      </c>
      <c r="F373" s="54" t="s">
        <v>3942</v>
      </c>
      <c r="G373" s="53" t="s">
        <v>3943</v>
      </c>
      <c r="H373" s="54" t="s">
        <v>3944</v>
      </c>
      <c r="I373" s="54" t="s">
        <v>176</v>
      </c>
      <c r="J373" s="54" t="s">
        <v>3945</v>
      </c>
      <c r="K373" s="54" t="s">
        <v>129</v>
      </c>
      <c r="L373" s="54" t="s">
        <v>3946</v>
      </c>
      <c r="M373" s="55" t="str">
        <f>HYPERLINK("https://www.reddit.com/r/HOA/comments/q6rz0s","https://www.reddit.com/r/HOA/comments/q6rz0s")</f>
        <v>https://www.reddit.com/r/HOA/comments/q6rz0s</v>
      </c>
      <c r="N373" s="54" t="s">
        <v>169</v>
      </c>
      <c r="O373" s="54" t="s">
        <v>3947</v>
      </c>
      <c r="P373" s="53" t="s">
        <v>119</v>
      </c>
      <c r="Q373" s="53" t="s">
        <v>26</v>
      </c>
    </row>
    <row r="374" spans="1:17" ht="179.75" customHeight="1" x14ac:dyDescent="0.35">
      <c r="A374" s="53" t="s">
        <v>3948</v>
      </c>
      <c r="B374" s="53" t="s">
        <v>147</v>
      </c>
      <c r="C374" s="54" t="s">
        <v>3949</v>
      </c>
      <c r="D374" s="54" t="s">
        <v>149</v>
      </c>
      <c r="E374" s="53" t="s">
        <v>3950</v>
      </c>
      <c r="F374" s="54" t="s">
        <v>3951</v>
      </c>
      <c r="G374" s="53" t="s">
        <v>3952</v>
      </c>
      <c r="H374" s="54" t="s">
        <v>3953</v>
      </c>
      <c r="I374" s="54" t="s">
        <v>3954</v>
      </c>
      <c r="J374" s="54" t="s">
        <v>3955</v>
      </c>
      <c r="K374" s="54" t="s">
        <v>156</v>
      </c>
      <c r="L374" s="54" t="s">
        <v>3956</v>
      </c>
      <c r="M374" s="55" t="str">
        <f>HYPERLINK("https://www.habitatmag.com/Publication-Content/Board-Operations/2008/2008-March/Forensic-Accounting-Four-Cautionary-Tales/Case-2-The-Single-Client-Company","https://www.habitatmag.com/Publication-Content/Board-Operations/2008/2008-March/Forensic-Accounting-Four-Cautionary-Tales/Case-2-The-Single-Client-Company")</f>
        <v>https://www.habitatmag.com/Publication-Content/Board-Operations/2008/2008-March/Forensic-Accounting-Four-Cautionary-Tales/Case-2-The-Single-Client-Company</v>
      </c>
      <c r="N374" s="54" t="s">
        <v>144</v>
      </c>
      <c r="O374" s="54" t="s">
        <v>3957</v>
      </c>
      <c r="P374" s="53" t="s">
        <v>119</v>
      </c>
      <c r="Q374" s="53" t="s">
        <v>26</v>
      </c>
    </row>
    <row r="375" spans="1:17" ht="179.75" customHeight="1" x14ac:dyDescent="0.35">
      <c r="A375" s="53" t="s">
        <v>3958</v>
      </c>
      <c r="B375" s="53" t="s">
        <v>147</v>
      </c>
      <c r="C375" s="54" t="s">
        <v>3959</v>
      </c>
      <c r="D375" s="54" t="s">
        <v>149</v>
      </c>
      <c r="E375" s="53" t="s">
        <v>3960</v>
      </c>
      <c r="F375" s="54" t="s">
        <v>3961</v>
      </c>
      <c r="G375" s="53" t="s">
        <v>3962</v>
      </c>
      <c r="H375" s="54" t="s">
        <v>3963</v>
      </c>
      <c r="I375" s="54" t="s">
        <v>3964</v>
      </c>
      <c r="J375" s="54" t="s">
        <v>3965</v>
      </c>
      <c r="K375" s="54" t="s">
        <v>156</v>
      </c>
      <c r="L375" s="54" t="s">
        <v>3966</v>
      </c>
      <c r="M375" s="55" t="str">
        <f>HYPERLINK("https://www.habitatmag.com/Publication-Content/Board-Operations/2008/2008-March/Forensic-Accounting-Four-Cautionary-Tales/Case-4-The-President-the-Lawyer-and-the-Fake-Loan","https://www.habitatmag.com/Publication-Content/Board-Operations/2008/2008-March/Forensic-Accounting-Four-Cautionary-Tales/Case-4-The-President-the-Lawyer-and-the-Fake-Loan")</f>
        <v>https://www.habitatmag.com/Publication-Content/Board-Operations/2008/2008-March/Forensic-Accounting-Four-Cautionary-Tales/Case-4-The-President-the-Lawyer-and-the-Fake-Loan</v>
      </c>
      <c r="N375" s="54" t="s">
        <v>144</v>
      </c>
      <c r="O375" s="54" t="s">
        <v>3967</v>
      </c>
      <c r="P375" s="53" t="s">
        <v>119</v>
      </c>
      <c r="Q375" s="53" t="s">
        <v>26</v>
      </c>
    </row>
    <row r="376" spans="1:17" ht="179.75" customHeight="1" x14ac:dyDescent="0.35">
      <c r="A376" s="53" t="s">
        <v>3968</v>
      </c>
      <c r="B376" s="53" t="s">
        <v>147</v>
      </c>
      <c r="C376" s="54" t="s">
        <v>3969</v>
      </c>
      <c r="D376" s="54" t="s">
        <v>195</v>
      </c>
      <c r="E376" s="53" t="s">
        <v>3970</v>
      </c>
      <c r="F376" s="54" t="s">
        <v>3899</v>
      </c>
      <c r="G376" s="53" t="s">
        <v>3971</v>
      </c>
      <c r="H376" s="54" t="s">
        <v>3972</v>
      </c>
      <c r="I376" s="54" t="s">
        <v>176</v>
      </c>
      <c r="J376" s="54" t="s">
        <v>3973</v>
      </c>
      <c r="K376" s="54" t="s">
        <v>129</v>
      </c>
      <c r="L376" s="54" t="s">
        <v>3974</v>
      </c>
      <c r="M376" s="55" t="str">
        <f>HYPERLINK("https://www.reddit.com/r/HOA/comments/1esmqie","https://www.reddit.com/r/HOA/comments/1esmqie")</f>
        <v>https://www.reddit.com/r/HOA/comments/1esmqie</v>
      </c>
      <c r="N376" s="54" t="s">
        <v>179</v>
      </c>
      <c r="O376" s="54" t="s">
        <v>3975</v>
      </c>
      <c r="P376" s="53" t="s">
        <v>119</v>
      </c>
      <c r="Q376" s="53" t="s">
        <v>26</v>
      </c>
    </row>
    <row r="377" spans="1:17" ht="179.75" customHeight="1" x14ac:dyDescent="0.35">
      <c r="A377" s="53" t="s">
        <v>3976</v>
      </c>
      <c r="B377" s="53" t="s">
        <v>147</v>
      </c>
      <c r="C377" s="54" t="s">
        <v>3777</v>
      </c>
      <c r="D377" s="54" t="s">
        <v>135</v>
      </c>
      <c r="E377" s="53" t="s">
        <v>3977</v>
      </c>
      <c r="F377" s="54" t="s">
        <v>3978</v>
      </c>
      <c r="G377" s="53" t="s">
        <v>3979</v>
      </c>
      <c r="H377" s="54" t="s">
        <v>3980</v>
      </c>
      <c r="I377" s="54" t="s">
        <v>3981</v>
      </c>
      <c r="J377" s="54" t="s">
        <v>3982</v>
      </c>
      <c r="K377" s="54" t="s">
        <v>129</v>
      </c>
      <c r="L377" s="54" t="s">
        <v>3983</v>
      </c>
      <c r="M377" s="55" t="str">
        <f>HYPERLINK("https://www.reddit.com/r/HOA/comments/1k69842","https://www.reddit.com/r/HOA/comments/1k69842")</f>
        <v>https://www.reddit.com/r/HOA/comments/1k69842</v>
      </c>
      <c r="N377" s="54" t="s">
        <v>204</v>
      </c>
      <c r="O377" s="54" t="s">
        <v>3984</v>
      </c>
      <c r="P377" s="53" t="s">
        <v>119</v>
      </c>
      <c r="Q377" s="53" t="s">
        <v>26</v>
      </c>
    </row>
    <row r="378" spans="1:17" ht="179.75" customHeight="1" x14ac:dyDescent="0.35">
      <c r="A378" s="53" t="s">
        <v>3985</v>
      </c>
      <c r="B378" s="53" t="s">
        <v>147</v>
      </c>
      <c r="C378" s="54" t="s">
        <v>3777</v>
      </c>
      <c r="D378" s="54" t="s">
        <v>135</v>
      </c>
      <c r="E378" s="53" t="s">
        <v>3986</v>
      </c>
      <c r="F378" s="54" t="s">
        <v>3987</v>
      </c>
      <c r="G378" s="53" t="s">
        <v>3988</v>
      </c>
      <c r="H378" s="54" t="s">
        <v>3989</v>
      </c>
      <c r="I378" s="54" t="s">
        <v>3990</v>
      </c>
      <c r="J378" s="54" t="s">
        <v>3991</v>
      </c>
      <c r="K378" s="54" t="s">
        <v>129</v>
      </c>
      <c r="L378" s="54" t="s">
        <v>3992</v>
      </c>
      <c r="M378" s="55" t="str">
        <f>HYPERLINK("https://www.reddit.com/r/HOA/comments/1tm8f67/hoa_property_hires_property_managers_husbands/","https://www.reddit.com/r/HOA/comments/1tm8f67/hoa_property_hires_property_managers_husbands/")</f>
        <v>https://www.reddit.com/r/HOA/comments/1tm8f67/hoa_property_hires_property_managers_husbands/</v>
      </c>
      <c r="N378" s="54" t="s">
        <v>169</v>
      </c>
      <c r="O378" s="54" t="s">
        <v>3993</v>
      </c>
      <c r="P378" s="53" t="s">
        <v>119</v>
      </c>
      <c r="Q378" s="53" t="s">
        <v>26</v>
      </c>
    </row>
    <row r="379" spans="1:17" ht="179.75" customHeight="1" x14ac:dyDescent="0.35">
      <c r="A379" s="53" t="s">
        <v>3994</v>
      </c>
      <c r="B379" s="53" t="s">
        <v>107</v>
      </c>
      <c r="C379" s="54" t="s">
        <v>3995</v>
      </c>
      <c r="D379" s="54" t="s">
        <v>122</v>
      </c>
      <c r="E379" s="53" t="s">
        <v>3996</v>
      </c>
      <c r="F379" s="54" t="s">
        <v>3997</v>
      </c>
      <c r="G379" s="53" t="s">
        <v>3998</v>
      </c>
      <c r="H379" s="54" t="s">
        <v>3999</v>
      </c>
      <c r="I379" s="54" t="s">
        <v>4000</v>
      </c>
      <c r="J379" s="54" t="s">
        <v>4001</v>
      </c>
      <c r="K379" s="54" t="s">
        <v>214</v>
      </c>
      <c r="L379" s="54" t="s">
        <v>4002</v>
      </c>
      <c r="M379" s="55" t="str">
        <f>HYPERLINK("https://www.reddit.com/r/legaladvice/comments/lk11ib","https://www.reddit.com/r/legaladvice/comments/lk11ib")</f>
        <v>https://www.reddit.com/r/legaladvice/comments/lk11ib</v>
      </c>
      <c r="N379" s="54" t="s">
        <v>169</v>
      </c>
      <c r="O379" s="54" t="s">
        <v>4003</v>
      </c>
      <c r="P379" s="53" t="s">
        <v>119</v>
      </c>
      <c r="Q379" s="53" t="s">
        <v>26</v>
      </c>
    </row>
    <row r="380" spans="1:17" ht="179.75" customHeight="1" x14ac:dyDescent="0.35">
      <c r="A380" s="53" t="s">
        <v>4004</v>
      </c>
      <c r="B380" s="53" t="s">
        <v>147</v>
      </c>
      <c r="C380" s="54" t="s">
        <v>4005</v>
      </c>
      <c r="D380" s="54" t="s">
        <v>1690</v>
      </c>
      <c r="E380" s="53" t="s">
        <v>4006</v>
      </c>
      <c r="F380" s="54" t="s">
        <v>259</v>
      </c>
      <c r="G380" s="53" t="s">
        <v>4007</v>
      </c>
      <c r="H380" s="54" t="s">
        <v>4008</v>
      </c>
      <c r="I380" s="54" t="s">
        <v>176</v>
      </c>
      <c r="J380" s="54" t="s">
        <v>4009</v>
      </c>
      <c r="K380" s="54" t="s">
        <v>3365</v>
      </c>
      <c r="L380" s="54" t="s">
        <v>4010</v>
      </c>
      <c r="M380" s="55" t="str">
        <f>HYPERLINK("https://www.condoassociation.com/blog/tabid/19257/bid/47257/Condo-association-board-member-under-fire-for-hiring-contractor.aspx","https://www.condoassociation.com/blog/tabid/19257/bid/47257/Condo-association-board-member-under-fire-for-hiring-contractor.aspx")</f>
        <v>https://www.condoassociation.com/blog/tabid/19257/bid/47257/Condo-association-board-member-under-fire-for-hiring-contractor.aspx</v>
      </c>
      <c r="N380" s="54" t="s">
        <v>204</v>
      </c>
      <c r="O380" s="54" t="s">
        <v>4011</v>
      </c>
      <c r="P380" s="53" t="s">
        <v>119</v>
      </c>
      <c r="Q380" s="53" t="s">
        <v>26</v>
      </c>
    </row>
    <row r="381" spans="1:17" ht="179.75" customHeight="1" x14ac:dyDescent="0.35">
      <c r="A381" s="53" t="s">
        <v>4012</v>
      </c>
      <c r="B381" s="53" t="s">
        <v>147</v>
      </c>
      <c r="C381" s="54" t="s">
        <v>4013</v>
      </c>
      <c r="D381" s="54" t="s">
        <v>161</v>
      </c>
      <c r="E381" s="53" t="s">
        <v>4014</v>
      </c>
      <c r="F381" s="54" t="s">
        <v>4015</v>
      </c>
      <c r="G381" s="53" t="s">
        <v>4016</v>
      </c>
      <c r="H381" s="54" t="s">
        <v>4017</v>
      </c>
      <c r="I381" s="54" t="s">
        <v>4018</v>
      </c>
      <c r="J381" s="54" t="s">
        <v>4019</v>
      </c>
      <c r="K381" s="54" t="s">
        <v>129</v>
      </c>
      <c r="L381" s="54" t="s">
        <v>4020</v>
      </c>
      <c r="M381" s="55" t="str">
        <f>HYPERLINK("https://www.reddit.com/r/HOA/comments/qi229j","https://www.reddit.com/r/HOA/comments/qi229j")</f>
        <v>https://www.reddit.com/r/HOA/comments/qi229j</v>
      </c>
      <c r="N381" s="54" t="s">
        <v>204</v>
      </c>
      <c r="O381" s="54" t="s">
        <v>4021</v>
      </c>
      <c r="P381" s="53" t="s">
        <v>119</v>
      </c>
      <c r="Q381" s="53" t="s">
        <v>26</v>
      </c>
    </row>
    <row r="382" spans="1:17" ht="179.75" customHeight="1" x14ac:dyDescent="0.35">
      <c r="A382" s="53" t="s">
        <v>4022</v>
      </c>
      <c r="B382" s="53" t="s">
        <v>107</v>
      </c>
      <c r="C382" s="54" t="s">
        <v>4023</v>
      </c>
      <c r="D382" s="54" t="s">
        <v>4024</v>
      </c>
      <c r="E382" s="53" t="s">
        <v>4025</v>
      </c>
      <c r="F382" s="54" t="s">
        <v>4026</v>
      </c>
      <c r="G382" s="53" t="s">
        <v>4027</v>
      </c>
      <c r="H382" s="54" t="s">
        <v>4028</v>
      </c>
      <c r="I382" s="54" t="s">
        <v>4029</v>
      </c>
      <c r="J382" s="54" t="s">
        <v>4030</v>
      </c>
      <c r="K382" s="54" t="s">
        <v>129</v>
      </c>
      <c r="L382" s="54" t="s">
        <v>4031</v>
      </c>
      <c r="M382" s="55" t="str">
        <f>HYPERLINK("https://www.reddit.com/r/HOA/comments/1d5z0x9","https://www.reddit.com/r/HOA/comments/1d5z0x9")</f>
        <v>https://www.reddit.com/r/HOA/comments/1d5z0x9</v>
      </c>
      <c r="N382" s="54" t="s">
        <v>3436</v>
      </c>
      <c r="O382" s="54" t="s">
        <v>4032</v>
      </c>
      <c r="P382" s="53" t="s">
        <v>119</v>
      </c>
      <c r="Q382" s="53" t="s">
        <v>26</v>
      </c>
    </row>
    <row r="383" spans="1:17" ht="179.75" customHeight="1" x14ac:dyDescent="0.35">
      <c r="A383" s="53" t="s">
        <v>4033</v>
      </c>
      <c r="B383" s="53" t="s">
        <v>218</v>
      </c>
      <c r="C383" s="54" t="s">
        <v>4034</v>
      </c>
      <c r="D383" s="54" t="s">
        <v>135</v>
      </c>
      <c r="E383" s="53" t="s">
        <v>4035</v>
      </c>
      <c r="F383" s="54" t="s">
        <v>4036</v>
      </c>
      <c r="G383" s="53" t="s">
        <v>4037</v>
      </c>
      <c r="H383" s="54" t="s">
        <v>4038</v>
      </c>
      <c r="I383" s="54" t="s">
        <v>4039</v>
      </c>
      <c r="J383" s="54" t="s">
        <v>4040</v>
      </c>
      <c r="K383" s="54" t="s">
        <v>4041</v>
      </c>
      <c r="L383" s="54" t="s">
        <v>4042</v>
      </c>
      <c r="M383" s="55" t="str">
        <f>HYPERLINK("https://www.fdle.state.fl.us/news/2016/february/fdle-arrests-former-hoa-president-for-organized-scheme-to-defraud","https://www.fdle.state.fl.us/news/2016/february/fdle-arrests-former-hoa-president-for-organized-scheme-to-defraud")</f>
        <v>https://www.fdle.state.fl.us/news/2016/february/fdle-arrests-former-hoa-president-for-organized-scheme-to-defraud</v>
      </c>
      <c r="N383" s="54" t="s">
        <v>144</v>
      </c>
      <c r="O383" s="54" t="s">
        <v>4043</v>
      </c>
      <c r="P383" s="53" t="s">
        <v>119</v>
      </c>
      <c r="Q383" s="53" t="s">
        <v>26</v>
      </c>
    </row>
    <row r="384" spans="1:17" ht="179.75" customHeight="1" x14ac:dyDescent="0.35">
      <c r="A384" s="53" t="s">
        <v>4044</v>
      </c>
      <c r="B384" s="53" t="s">
        <v>147</v>
      </c>
      <c r="C384" s="54" t="s">
        <v>3777</v>
      </c>
      <c r="D384" s="54" t="s">
        <v>135</v>
      </c>
      <c r="E384" s="53" t="s">
        <v>4045</v>
      </c>
      <c r="F384" s="54" t="s">
        <v>3214</v>
      </c>
      <c r="G384" s="53" t="s">
        <v>4046</v>
      </c>
      <c r="H384" s="54" t="s">
        <v>4047</v>
      </c>
      <c r="I384" s="54" t="s">
        <v>4048</v>
      </c>
      <c r="J384" s="54" t="s">
        <v>4049</v>
      </c>
      <c r="K384" s="54" t="s">
        <v>129</v>
      </c>
      <c r="L384" s="54" t="s">
        <v>4050</v>
      </c>
      <c r="M384" s="55" t="str">
        <f>HYPERLINK("https://www.reddit.com/r/HOA/comments/1hsahas","https://www.reddit.com/r/HOA/comments/1hsahas")</f>
        <v>https://www.reddit.com/r/HOA/comments/1hsahas</v>
      </c>
      <c r="N384" s="54" t="s">
        <v>204</v>
      </c>
      <c r="O384" s="54" t="s">
        <v>4051</v>
      </c>
      <c r="P384" s="53" t="s">
        <v>119</v>
      </c>
      <c r="Q384" s="53" t="s">
        <v>26</v>
      </c>
    </row>
    <row r="385" spans="1:17" ht="179.75" customHeight="1" x14ac:dyDescent="0.35">
      <c r="A385" s="53" t="s">
        <v>4052</v>
      </c>
      <c r="B385" s="53" t="s">
        <v>147</v>
      </c>
      <c r="C385" s="54" t="s">
        <v>3969</v>
      </c>
      <c r="D385" s="54" t="s">
        <v>195</v>
      </c>
      <c r="E385" s="53" t="s">
        <v>4053</v>
      </c>
      <c r="F385" s="54" t="s">
        <v>4054</v>
      </c>
      <c r="G385" s="53" t="s">
        <v>4055</v>
      </c>
      <c r="H385" s="54" t="s">
        <v>4056</v>
      </c>
      <c r="I385" s="54" t="s">
        <v>176</v>
      </c>
      <c r="J385" s="54" t="s">
        <v>4057</v>
      </c>
      <c r="K385" s="54" t="s">
        <v>3583</v>
      </c>
      <c r="L385" s="54" t="s">
        <v>4058</v>
      </c>
      <c r="M385" s="55" t="str">
        <f>HYPERLINK("https://www.reddit.com/r/HOA/comments/1afqu0o","https://www.reddit.com/r/HOA/comments/1afqu0o")</f>
        <v>https://www.reddit.com/r/HOA/comments/1afqu0o</v>
      </c>
      <c r="N385" s="54" t="s">
        <v>204</v>
      </c>
      <c r="O385" s="54" t="s">
        <v>4059</v>
      </c>
      <c r="P385" s="53" t="s">
        <v>119</v>
      </c>
      <c r="Q385" s="53" t="s">
        <v>26</v>
      </c>
    </row>
    <row r="386" spans="1:17" ht="179.75" customHeight="1" x14ac:dyDescent="0.35">
      <c r="A386" s="53" t="s">
        <v>4060</v>
      </c>
      <c r="B386" s="53" t="s">
        <v>147</v>
      </c>
      <c r="C386" s="54" t="s">
        <v>3969</v>
      </c>
      <c r="D386" s="54" t="s">
        <v>309</v>
      </c>
      <c r="E386" s="53" t="s">
        <v>4061</v>
      </c>
      <c r="F386" s="54" t="s">
        <v>4062</v>
      </c>
      <c r="G386" s="53" t="s">
        <v>4063</v>
      </c>
      <c r="H386" s="54" t="s">
        <v>4064</v>
      </c>
      <c r="I386" s="54" t="s">
        <v>4065</v>
      </c>
      <c r="J386" s="54" t="s">
        <v>4066</v>
      </c>
      <c r="K386" s="54" t="s">
        <v>3583</v>
      </c>
      <c r="L386" s="54" t="s">
        <v>4067</v>
      </c>
      <c r="M386" s="55" t="str">
        <f>HYPERLINK("https://www.reddit.com/r/HOA/comments/1p1xpis/nv_condo_president_switched_insurance_agent_who/","https://www.reddit.com/r/HOA/comments/1p1xpis/nv_condo_president_switched_insurance_agent_who/")</f>
        <v>https://www.reddit.com/r/HOA/comments/1p1xpis/nv_condo_president_switched_insurance_agent_who/</v>
      </c>
      <c r="N386" s="54" t="s">
        <v>144</v>
      </c>
      <c r="O386" s="54" t="s">
        <v>4068</v>
      </c>
      <c r="P386" s="53" t="s">
        <v>3463</v>
      </c>
      <c r="Q386" s="53" t="s">
        <v>26</v>
      </c>
    </row>
    <row r="387" spans="1:17" ht="179.75" customHeight="1" x14ac:dyDescent="0.35">
      <c r="A387" s="53" t="s">
        <v>4069</v>
      </c>
      <c r="B387" s="53" t="s">
        <v>147</v>
      </c>
      <c r="C387" s="54" t="s">
        <v>3969</v>
      </c>
      <c r="D387" s="54" t="s">
        <v>161</v>
      </c>
      <c r="E387" s="53" t="s">
        <v>4070</v>
      </c>
      <c r="F387" s="54" t="s">
        <v>4071</v>
      </c>
      <c r="G387" s="53" t="s">
        <v>4072</v>
      </c>
      <c r="H387" s="54" t="s">
        <v>4073</v>
      </c>
      <c r="I387" s="54" t="s">
        <v>4074</v>
      </c>
      <c r="J387" s="54" t="s">
        <v>4075</v>
      </c>
      <c r="K387" s="54" t="s">
        <v>3583</v>
      </c>
      <c r="L387" s="54" t="s">
        <v>4076</v>
      </c>
      <c r="M387" s="55" t="str">
        <f>HYPERLINK("https://www.reddit.com/r/HOA/comments/16dbk2b","https://www.reddit.com/r/HOA/comments/16dbk2b")</f>
        <v>https://www.reddit.com/r/HOA/comments/16dbk2b</v>
      </c>
      <c r="N387" s="54" t="s">
        <v>144</v>
      </c>
      <c r="O387" s="54" t="s">
        <v>4077</v>
      </c>
      <c r="P387" s="53" t="s">
        <v>3463</v>
      </c>
      <c r="Q387" s="53" t="s">
        <v>26</v>
      </c>
    </row>
    <row r="388" spans="1:17" ht="179.75" customHeight="1" x14ac:dyDescent="0.35">
      <c r="A388" s="53" t="s">
        <v>4078</v>
      </c>
      <c r="B388" s="53" t="s">
        <v>147</v>
      </c>
      <c r="C388" s="54" t="s">
        <v>3969</v>
      </c>
      <c r="D388" s="54" t="s">
        <v>517</v>
      </c>
      <c r="E388" s="53" t="s">
        <v>4079</v>
      </c>
      <c r="F388" s="54" t="s">
        <v>4080</v>
      </c>
      <c r="G388" s="53" t="s">
        <v>4081</v>
      </c>
      <c r="H388" s="54" t="s">
        <v>4082</v>
      </c>
      <c r="I388" s="54" t="s">
        <v>176</v>
      </c>
      <c r="J388" s="54" t="s">
        <v>4083</v>
      </c>
      <c r="K388" s="54" t="s">
        <v>3583</v>
      </c>
      <c r="L388" s="54" t="s">
        <v>4084</v>
      </c>
      <c r="M388" s="55" t="str">
        <f>HYPERLINK("https://www.reddit.com/r/HOA/comments/1mzt1av","https://www.reddit.com/r/HOA/comments/1mzt1av")</f>
        <v>https://www.reddit.com/r/HOA/comments/1mzt1av</v>
      </c>
      <c r="N388" s="54" t="s">
        <v>4085</v>
      </c>
      <c r="O388" s="54" t="s">
        <v>4086</v>
      </c>
      <c r="P388" s="53" t="s">
        <v>3463</v>
      </c>
      <c r="Q388" s="53" t="s">
        <v>26</v>
      </c>
    </row>
    <row r="389" spans="1:17" ht="179.75" customHeight="1" x14ac:dyDescent="0.35">
      <c r="A389" s="53" t="s">
        <v>4087</v>
      </c>
      <c r="B389" s="53" t="s">
        <v>147</v>
      </c>
      <c r="C389" s="54" t="s">
        <v>4088</v>
      </c>
      <c r="D389" s="54" t="s">
        <v>195</v>
      </c>
      <c r="E389" s="53" t="s">
        <v>3588</v>
      </c>
      <c r="F389" s="54" t="s">
        <v>4089</v>
      </c>
      <c r="G389" s="53" t="s">
        <v>4090</v>
      </c>
      <c r="H389" s="54" t="s">
        <v>4091</v>
      </c>
      <c r="I389" s="54" t="s">
        <v>4092</v>
      </c>
      <c r="J389" s="54" t="s">
        <v>4093</v>
      </c>
      <c r="K389" s="54" t="s">
        <v>4094</v>
      </c>
      <c r="L389" s="54" t="s">
        <v>4095</v>
      </c>
      <c r="M389" s="55" t="str">
        <f>HYPERLINK("https://consumerwatchdog.org/profile/homeowners-insurance/bruce-breslau/","https://consumerwatchdog.org/profile/homeowners-insurance/bruce-breslau/")</f>
        <v>https://consumerwatchdog.org/profile/homeowners-insurance/bruce-breslau/</v>
      </c>
      <c r="N389" s="54" t="s">
        <v>4096</v>
      </c>
      <c r="O389" s="54" t="s">
        <v>4097</v>
      </c>
      <c r="P389" s="53" t="s">
        <v>3463</v>
      </c>
      <c r="Q389" s="53" t="s">
        <v>26</v>
      </c>
    </row>
    <row r="390" spans="1:17" ht="179.75" customHeight="1" x14ac:dyDescent="0.35">
      <c r="A390" s="53" t="s">
        <v>4098</v>
      </c>
      <c r="B390" s="53" t="s">
        <v>147</v>
      </c>
      <c r="C390" s="54" t="s">
        <v>4099</v>
      </c>
      <c r="D390" s="54" t="s">
        <v>149</v>
      </c>
      <c r="E390" s="53" t="s">
        <v>4100</v>
      </c>
      <c r="F390" s="54" t="s">
        <v>4101</v>
      </c>
      <c r="G390" s="53" t="s">
        <v>4102</v>
      </c>
      <c r="H390" s="54" t="s">
        <v>4103</v>
      </c>
      <c r="I390" s="54" t="s">
        <v>4104</v>
      </c>
      <c r="J390" s="54" t="s">
        <v>4105</v>
      </c>
      <c r="K390" s="54" t="s">
        <v>4106</v>
      </c>
      <c r="L390" s="54" t="s">
        <v>4107</v>
      </c>
      <c r="M390" s="55" t="str">
        <f>HYPERLINK("https://www.dfs.ny.gov/insurance/ogco2006/rg061119.htm","https://www.dfs.ny.gov/insurance/ogco2006/rg061119.htm")</f>
        <v>https://www.dfs.ny.gov/insurance/ogco2006/rg061119.htm</v>
      </c>
      <c r="N390" s="54" t="s">
        <v>4096</v>
      </c>
      <c r="O390" s="54" t="s">
        <v>4108</v>
      </c>
      <c r="P390" s="53" t="s">
        <v>3463</v>
      </c>
      <c r="Q390" s="53" t="s">
        <v>26</v>
      </c>
    </row>
    <row r="391" spans="1:17" ht="179.75" customHeight="1" x14ac:dyDescent="0.35">
      <c r="A391" s="53" t="s">
        <v>4109</v>
      </c>
      <c r="B391" s="53" t="s">
        <v>147</v>
      </c>
      <c r="C391" s="54" t="s">
        <v>4110</v>
      </c>
      <c r="D391" s="54" t="s">
        <v>161</v>
      </c>
      <c r="E391" s="53" t="s">
        <v>4111</v>
      </c>
      <c r="F391" s="54" t="s">
        <v>4112</v>
      </c>
      <c r="G391" s="53" t="s">
        <v>4113</v>
      </c>
      <c r="H391" s="54" t="s">
        <v>4114</v>
      </c>
      <c r="I391" s="54" t="s">
        <v>4115</v>
      </c>
      <c r="J391" s="54" t="s">
        <v>4116</v>
      </c>
      <c r="K391" s="54" t="s">
        <v>4117</v>
      </c>
      <c r="L391" s="54" t="s">
        <v>4118</v>
      </c>
      <c r="M391" s="55" t="str">
        <f>HYPERLINK("https://hylant.com/insights/case-studies/condo-board-secures-insurance-just-in-time-saves-250k","https://hylant.com/insights/case-studies/condo-board-secures-insurance-just-in-time-saves-250k")</f>
        <v>https://hylant.com/insights/case-studies/condo-board-secures-insurance-just-in-time-saves-250k</v>
      </c>
      <c r="N391" s="54" t="s">
        <v>4119</v>
      </c>
      <c r="O391" s="54" t="s">
        <v>4120</v>
      </c>
      <c r="P391" s="53" t="s">
        <v>3463</v>
      </c>
      <c r="Q391" s="53" t="s">
        <v>26</v>
      </c>
    </row>
    <row r="392" spans="1:17" ht="179.75" customHeight="1" x14ac:dyDescent="0.35">
      <c r="A392" s="53" t="s">
        <v>4121</v>
      </c>
      <c r="B392" s="53" t="s">
        <v>147</v>
      </c>
      <c r="C392" s="54" t="s">
        <v>4122</v>
      </c>
      <c r="D392" s="54" t="s">
        <v>161</v>
      </c>
      <c r="E392" s="53" t="s">
        <v>4123</v>
      </c>
      <c r="F392" s="54" t="s">
        <v>4124</v>
      </c>
      <c r="G392" s="53" t="s">
        <v>4125</v>
      </c>
      <c r="H392" s="54" t="s">
        <v>4126</v>
      </c>
      <c r="I392" s="54" t="s">
        <v>4127</v>
      </c>
      <c r="J392" s="54" t="s">
        <v>4128</v>
      </c>
      <c r="K392" s="54" t="s">
        <v>3583</v>
      </c>
      <c r="L392" s="54" t="s">
        <v>4129</v>
      </c>
      <c r="M392" s="55" t="str">
        <f>HYPERLINK("https://www.reddit.com/r/HOA/comments/1rvcg39/removed/","https://www.reddit.com/r/HOA/comments/1rvcg39/removed/")</f>
        <v>https://www.reddit.com/r/HOA/comments/1rvcg39/removed/</v>
      </c>
      <c r="N392" s="54" t="s">
        <v>3436</v>
      </c>
      <c r="O392" s="54" t="s">
        <v>4130</v>
      </c>
      <c r="P392" s="53" t="s">
        <v>119</v>
      </c>
      <c r="Q392" s="53" t="s">
        <v>26</v>
      </c>
    </row>
    <row r="393" spans="1:17" ht="179.75" customHeight="1" x14ac:dyDescent="0.35">
      <c r="A393" s="53" t="s">
        <v>4131</v>
      </c>
      <c r="B393" s="53" t="s">
        <v>147</v>
      </c>
      <c r="C393" s="54" t="s">
        <v>3969</v>
      </c>
      <c r="D393" s="54" t="s">
        <v>679</v>
      </c>
      <c r="E393" s="53" t="s">
        <v>4132</v>
      </c>
      <c r="F393" s="54" t="s">
        <v>4133</v>
      </c>
      <c r="G393" s="53" t="s">
        <v>4134</v>
      </c>
      <c r="H393" s="54" t="s">
        <v>4135</v>
      </c>
      <c r="I393" s="54" t="s">
        <v>4136</v>
      </c>
      <c r="J393" s="54" t="s">
        <v>4137</v>
      </c>
      <c r="K393" s="54" t="s">
        <v>3583</v>
      </c>
      <c r="L393" s="54" t="s">
        <v>4138</v>
      </c>
      <c r="M393" s="55" t="str">
        <f>HYPERLINK("https://www.reddit.com/r/HOA/comments/1pshnzf/sfh_ut_best_way_to_find_vendors/","https://www.reddit.com/r/HOA/comments/1pshnzf/sfh_ut_best_way_to_find_vendors/")</f>
        <v>https://www.reddit.com/r/HOA/comments/1pshnzf/sfh_ut_best_way_to_find_vendors/</v>
      </c>
      <c r="N393" s="54" t="s">
        <v>144</v>
      </c>
      <c r="O393" s="54" t="s">
        <v>4139</v>
      </c>
      <c r="P393" s="53" t="s">
        <v>119</v>
      </c>
      <c r="Q393" s="53" t="s">
        <v>26</v>
      </c>
    </row>
    <row r="394" spans="1:17" ht="179.75" customHeight="1" x14ac:dyDescent="0.35">
      <c r="A394" s="53" t="s">
        <v>4140</v>
      </c>
      <c r="B394" s="53" t="s">
        <v>147</v>
      </c>
      <c r="C394" s="54" t="s">
        <v>4141</v>
      </c>
      <c r="D394" s="54" t="s">
        <v>349</v>
      </c>
      <c r="E394" s="53" t="s">
        <v>4142</v>
      </c>
      <c r="F394" s="54" t="s">
        <v>4143</v>
      </c>
      <c r="G394" s="53" t="s">
        <v>4144</v>
      </c>
      <c r="H394" s="54" t="s">
        <v>4145</v>
      </c>
      <c r="I394" s="54" t="s">
        <v>4146</v>
      </c>
      <c r="J394" s="54" t="s">
        <v>4147</v>
      </c>
      <c r="K394" s="54" t="s">
        <v>4148</v>
      </c>
      <c r="L394" s="54" t="s">
        <v>4149</v>
      </c>
      <c r="M394" s="55" t="str">
        <f>HYPERLINK("https://www.hoalnet.com/hoaln-in-star-tribune-article-on-hoa-insurance/","https://www.hoalnet.com/hoaln-in-star-tribune-article-on-hoa-insurance/")</f>
        <v>https://www.hoalnet.com/hoaln-in-star-tribune-article-on-hoa-insurance/</v>
      </c>
      <c r="N394" s="54" t="s">
        <v>4119</v>
      </c>
      <c r="O394" s="54" t="s">
        <v>4150</v>
      </c>
      <c r="P394" s="53" t="s">
        <v>3463</v>
      </c>
      <c r="Q394" s="53" t="s">
        <v>26</v>
      </c>
    </row>
    <row r="395" spans="1:17" ht="179.75" customHeight="1" x14ac:dyDescent="0.35">
      <c r="A395" s="53" t="s">
        <v>4151</v>
      </c>
      <c r="B395" s="53" t="s">
        <v>147</v>
      </c>
      <c r="C395" s="54" t="s">
        <v>4152</v>
      </c>
      <c r="D395" s="54" t="s">
        <v>161</v>
      </c>
      <c r="E395" s="53" t="s">
        <v>4153</v>
      </c>
      <c r="F395" s="54" t="s">
        <v>4154</v>
      </c>
      <c r="G395" s="53" t="s">
        <v>4155</v>
      </c>
      <c r="H395" s="54" t="s">
        <v>4156</v>
      </c>
      <c r="I395" s="54" t="s">
        <v>4157</v>
      </c>
      <c r="J395" s="54" t="s">
        <v>4158</v>
      </c>
      <c r="K395" s="54" t="s">
        <v>3583</v>
      </c>
      <c r="L395" s="54" t="s">
        <v>4159</v>
      </c>
      <c r="M395" s="55" t="str">
        <f>HYPERLINK("https://www.reddit.com/r/HOA/comments/6rgzld/do_management_companies_or_agents_typically_get/","https://www.reddit.com/r/HOA/comments/6rgzld/do_management_companies_or_agents_typically_get/")</f>
        <v>https://www.reddit.com/r/HOA/comments/6rgzld/do_management_companies_or_agents_typically_get/</v>
      </c>
      <c r="N395" s="54" t="s">
        <v>204</v>
      </c>
      <c r="O395" s="54" t="s">
        <v>4160</v>
      </c>
      <c r="P395" s="53" t="s">
        <v>119</v>
      </c>
      <c r="Q395" s="53" t="s">
        <v>26</v>
      </c>
    </row>
    <row r="396" spans="1:17" ht="179.75" customHeight="1" x14ac:dyDescent="0.35">
      <c r="A396" s="53" t="s">
        <v>4161</v>
      </c>
      <c r="B396" s="53" t="s">
        <v>147</v>
      </c>
      <c r="C396" s="54" t="s">
        <v>4162</v>
      </c>
      <c r="D396" s="54" t="s">
        <v>161</v>
      </c>
      <c r="E396" s="53" t="s">
        <v>4163</v>
      </c>
      <c r="F396" s="54" t="s">
        <v>4164</v>
      </c>
      <c r="G396" s="53" t="s">
        <v>4165</v>
      </c>
      <c r="H396" s="54" t="s">
        <v>4166</v>
      </c>
      <c r="I396" s="54" t="s">
        <v>176</v>
      </c>
      <c r="J396" s="54" t="s">
        <v>4167</v>
      </c>
      <c r="K396" s="54" t="s">
        <v>3415</v>
      </c>
      <c r="L396" s="54" t="s">
        <v>4168</v>
      </c>
      <c r="M396" s="55" t="str">
        <f>HYPERLINK("https://hoatalk.com/topics/300716/directors-talking-association-business-outside-of-","https://hoatalk.com/topics/300716/directors-talking-association-business-outside-of-")</f>
        <v>https://hoatalk.com/topics/300716/directors-talking-association-business-outside-of-</v>
      </c>
      <c r="N396" s="54" t="s">
        <v>144</v>
      </c>
      <c r="O396" s="54" t="s">
        <v>4169</v>
      </c>
      <c r="P396" s="53" t="s">
        <v>119</v>
      </c>
      <c r="Q396" s="53" t="s">
        <v>26</v>
      </c>
    </row>
    <row r="397" spans="1:17" ht="179.75" customHeight="1" x14ac:dyDescent="0.35">
      <c r="A397" s="53" t="s">
        <v>4170</v>
      </c>
      <c r="B397" s="53" t="s">
        <v>147</v>
      </c>
      <c r="C397" s="54" t="s">
        <v>4171</v>
      </c>
      <c r="D397" s="54" t="s">
        <v>149</v>
      </c>
      <c r="E397" s="53" t="s">
        <v>4172</v>
      </c>
      <c r="F397" s="54" t="s">
        <v>4173</v>
      </c>
      <c r="G397" s="53" t="s">
        <v>4174</v>
      </c>
      <c r="H397" s="54" t="s">
        <v>4175</v>
      </c>
      <c r="I397" s="54" t="s">
        <v>4176</v>
      </c>
      <c r="J397" s="54" t="s">
        <v>4177</v>
      </c>
      <c r="K397" s="54" t="s">
        <v>4178</v>
      </c>
      <c r="L397" s="54" t="s">
        <v>4179</v>
      </c>
      <c r="M397" s="55" t="str">
        <f>HYPERLINK("https://cooperatornews.com/article/true-stories-of-fraud","https://cooperatornews.com/article/true-stories-of-fraud")</f>
        <v>https://cooperatornews.com/article/true-stories-of-fraud</v>
      </c>
      <c r="N397" s="54" t="s">
        <v>4180</v>
      </c>
      <c r="O397" s="54" t="s">
        <v>4181</v>
      </c>
      <c r="P397" s="53" t="s">
        <v>119</v>
      </c>
      <c r="Q397" s="53" t="s">
        <v>26</v>
      </c>
    </row>
    <row r="398" spans="1:17" ht="179.75" customHeight="1" x14ac:dyDescent="0.35">
      <c r="A398" s="53" t="s">
        <v>4182</v>
      </c>
      <c r="B398" s="53" t="s">
        <v>147</v>
      </c>
      <c r="C398" s="54" t="s">
        <v>3969</v>
      </c>
      <c r="D398" s="54" t="s">
        <v>517</v>
      </c>
      <c r="E398" s="53" t="s">
        <v>4183</v>
      </c>
      <c r="F398" s="54" t="s">
        <v>4184</v>
      </c>
      <c r="G398" s="53" t="s">
        <v>4185</v>
      </c>
      <c r="H398" s="54" t="s">
        <v>4186</v>
      </c>
      <c r="I398" s="54" t="s">
        <v>4187</v>
      </c>
      <c r="J398" s="54" t="s">
        <v>4188</v>
      </c>
      <c r="K398" s="54" t="s">
        <v>3583</v>
      </c>
      <c r="L398" s="54" t="s">
        <v>4189</v>
      </c>
      <c r="M398" s="55" t="str">
        <f>HYPERLINK("https://www.reddit.com/r/HOA/comments/1ocfhd7/sfhnc_only_our_management_company_has_access_to/","https://www.reddit.com/r/HOA/comments/1ocfhd7/sfhnc_only_our_management_company_has_access_to/")</f>
        <v>https://www.reddit.com/r/HOA/comments/1ocfhd7/sfhnc_only_our_management_company_has_access_to/</v>
      </c>
      <c r="N398" s="54" t="s">
        <v>4190</v>
      </c>
      <c r="O398" s="54" t="s">
        <v>4191</v>
      </c>
      <c r="P398" s="53" t="s">
        <v>119</v>
      </c>
      <c r="Q398" s="53" t="s">
        <v>26</v>
      </c>
    </row>
    <row r="399" spans="1:17" ht="179.75" customHeight="1" x14ac:dyDescent="0.35">
      <c r="A399" s="53" t="s">
        <v>4192</v>
      </c>
      <c r="B399" s="53" t="s">
        <v>147</v>
      </c>
      <c r="C399" s="54" t="s">
        <v>4193</v>
      </c>
      <c r="D399" s="54" t="s">
        <v>1560</v>
      </c>
      <c r="E399" s="53" t="s">
        <v>4194</v>
      </c>
      <c r="F399" s="54" t="s">
        <v>3570</v>
      </c>
      <c r="G399" s="53" t="s">
        <v>4195</v>
      </c>
      <c r="H399" s="54" t="s">
        <v>4196</v>
      </c>
      <c r="I399" s="54" t="s">
        <v>176</v>
      </c>
      <c r="J399" s="54" t="s">
        <v>4197</v>
      </c>
      <c r="K399" s="54" t="s">
        <v>3583</v>
      </c>
      <c r="L399" s="54" t="s">
        <v>4198</v>
      </c>
      <c r="M399" s="55" t="str">
        <f>HYPERLINK("https://www.reddit.com/r/HOA/comments/1hwws6n","https://www.reddit.com/r/HOA/comments/1hwws6n")</f>
        <v>https://www.reddit.com/r/HOA/comments/1hwws6n</v>
      </c>
      <c r="N399" s="54" t="s">
        <v>4199</v>
      </c>
      <c r="O399" s="54" t="s">
        <v>4200</v>
      </c>
      <c r="P399" s="53" t="s">
        <v>3463</v>
      </c>
      <c r="Q399" s="53" t="s">
        <v>26</v>
      </c>
    </row>
    <row r="400" spans="1:17" ht="179.75" customHeight="1" x14ac:dyDescent="0.35">
      <c r="A400" s="53" t="s">
        <v>4201</v>
      </c>
      <c r="B400" s="53" t="s">
        <v>147</v>
      </c>
      <c r="C400" s="54" t="s">
        <v>4202</v>
      </c>
      <c r="D400" s="54" t="s">
        <v>3331</v>
      </c>
      <c r="E400" s="53" t="s">
        <v>4203</v>
      </c>
      <c r="F400" s="54" t="s">
        <v>4204</v>
      </c>
      <c r="G400" s="53" t="s">
        <v>4205</v>
      </c>
      <c r="H400" s="54" t="s">
        <v>4206</v>
      </c>
      <c r="I400" s="54" t="s">
        <v>4207</v>
      </c>
      <c r="J400" s="54" t="s">
        <v>4208</v>
      </c>
      <c r="K400" s="54" t="s">
        <v>3651</v>
      </c>
      <c r="L400" s="54" t="s">
        <v>4209</v>
      </c>
      <c r="M400" s="55" t="str">
        <f>HYPERLINK("https://www.reddit.com/r/HOA/comments/1hr8db6/is_a_10_fee_standard_for_an_insurance_claim_condo/","https://www.reddit.com/r/HOA/comments/1hr8db6/is_a_10_fee_standard_for_an_insurance_claim_condo/")</f>
        <v>https://www.reddit.com/r/HOA/comments/1hr8db6/is_a_10_fee_standard_for_an_insurance_claim_condo/</v>
      </c>
      <c r="N400" s="54" t="s">
        <v>4210</v>
      </c>
      <c r="O400" s="54" t="s">
        <v>4211</v>
      </c>
      <c r="P400" s="53" t="s">
        <v>3463</v>
      </c>
      <c r="Q400" s="53" t="s">
        <v>26</v>
      </c>
    </row>
    <row r="401" spans="1:17" ht="179.75" customHeight="1" x14ac:dyDescent="0.35">
      <c r="A401" s="53" t="s">
        <v>4212</v>
      </c>
      <c r="B401" s="53" t="s">
        <v>4213</v>
      </c>
      <c r="C401" s="54" t="s">
        <v>4214</v>
      </c>
      <c r="D401" s="54" t="s">
        <v>161</v>
      </c>
      <c r="E401" s="53" t="s">
        <v>4215</v>
      </c>
      <c r="F401" s="54" t="s">
        <v>4216</v>
      </c>
      <c r="G401" s="53" t="s">
        <v>4217</v>
      </c>
      <c r="H401" s="54" t="s">
        <v>4218</v>
      </c>
      <c r="I401" s="54" t="s">
        <v>4219</v>
      </c>
      <c r="J401" s="54" t="s">
        <v>4220</v>
      </c>
      <c r="K401" s="54" t="s">
        <v>3651</v>
      </c>
      <c r="L401" s="54" t="s">
        <v>4221</v>
      </c>
      <c r="M401" s="55" t="str">
        <f>HYPERLINK("https://www.reddit.com/r/HOA/comments/120nq3q/property_manager_are_they_all_this_bad/","https://www.reddit.com/r/HOA/comments/120nq3q/property_manager_are_they_all_this_bad/")</f>
        <v>https://www.reddit.com/r/HOA/comments/120nq3q/property_manager_are_they_all_this_bad/</v>
      </c>
      <c r="N401" s="54" t="s">
        <v>4222</v>
      </c>
      <c r="O401" s="54" t="s">
        <v>4223</v>
      </c>
      <c r="P401" s="53" t="s">
        <v>119</v>
      </c>
      <c r="Q401" s="53" t="s">
        <v>26</v>
      </c>
    </row>
    <row r="402" spans="1:17" ht="179.75" customHeight="1" x14ac:dyDescent="0.35">
      <c r="A402" s="53" t="s">
        <v>4224</v>
      </c>
      <c r="B402" s="53" t="s">
        <v>4225</v>
      </c>
      <c r="C402" s="54" t="s">
        <v>4226</v>
      </c>
      <c r="D402" s="54" t="s">
        <v>161</v>
      </c>
      <c r="E402" s="53" t="s">
        <v>4227</v>
      </c>
      <c r="F402" s="54" t="s">
        <v>4228</v>
      </c>
      <c r="G402" s="53" t="s">
        <v>4229</v>
      </c>
      <c r="H402" s="54" t="s">
        <v>4230</v>
      </c>
      <c r="I402" s="54" t="s">
        <v>4231</v>
      </c>
      <c r="J402" s="54" t="s">
        <v>4232</v>
      </c>
      <c r="K402" s="54" t="s">
        <v>3651</v>
      </c>
      <c r="L402" s="54" t="s">
        <v>4233</v>
      </c>
      <c r="M402" s="55" t="str">
        <f>HYPERLINK("https://www.reddit.com/r/HOA/comments/177698g/bank_limitations_with_property_management_company/","https://www.reddit.com/r/HOA/comments/177698g/bank_limitations_with_property_management_company/")</f>
        <v>https://www.reddit.com/r/HOA/comments/177698g/bank_limitations_with_property_management_company/</v>
      </c>
      <c r="N402" s="54" t="s">
        <v>4234</v>
      </c>
      <c r="O402" s="54" t="s">
        <v>4235</v>
      </c>
      <c r="P402" s="53" t="s">
        <v>279</v>
      </c>
      <c r="Q402" s="53" t="s">
        <v>26</v>
      </c>
    </row>
    <row r="403" spans="1:17" ht="179.75" customHeight="1" x14ac:dyDescent="0.35">
      <c r="A403" s="53" t="s">
        <v>4236</v>
      </c>
      <c r="B403" s="53" t="s">
        <v>4237</v>
      </c>
      <c r="C403" s="54" t="s">
        <v>4238</v>
      </c>
      <c r="D403" s="54" t="s">
        <v>1560</v>
      </c>
      <c r="E403" s="53" t="s">
        <v>4239</v>
      </c>
      <c r="F403" s="54" t="s">
        <v>4240</v>
      </c>
      <c r="G403" s="53" t="s">
        <v>4241</v>
      </c>
      <c r="H403" s="54" t="s">
        <v>4242</v>
      </c>
      <c r="I403" s="54" t="s">
        <v>4243</v>
      </c>
      <c r="J403" s="54" t="s">
        <v>4244</v>
      </c>
      <c r="K403" s="54" t="s">
        <v>3651</v>
      </c>
      <c r="L403" s="54" t="s">
        <v>4245</v>
      </c>
      <c r="M403" s="55" t="str">
        <f>HYPERLINK("https://www.reddit.com/r/HOA/comments/1r7kyc3/wa_condo_board_gone_wild_suspicion_growing/","https://www.reddit.com/r/HOA/comments/1r7kyc3/wa_condo_board_gone_wild_suspicion_growing/")</f>
        <v>https://www.reddit.com/r/HOA/comments/1r7kyc3/wa_condo_board_gone_wild_suspicion_growing/</v>
      </c>
      <c r="N403" s="54" t="s">
        <v>4246</v>
      </c>
      <c r="O403" s="54" t="s">
        <v>4247</v>
      </c>
      <c r="P403" s="53" t="s">
        <v>119</v>
      </c>
      <c r="Q403" s="53" t="s">
        <v>26</v>
      </c>
    </row>
    <row r="404" spans="1:17" ht="179.75" customHeight="1" x14ac:dyDescent="0.35">
      <c r="A404" s="56" t="s">
        <v>4248</v>
      </c>
      <c r="B404" s="56" t="s">
        <v>147</v>
      </c>
      <c r="C404" s="57" t="s">
        <v>3914</v>
      </c>
      <c r="D404" s="57" t="s">
        <v>135</v>
      </c>
      <c r="E404" s="56" t="s">
        <v>4249</v>
      </c>
      <c r="F404" s="57" t="s">
        <v>4250</v>
      </c>
      <c r="G404" s="56" t="s">
        <v>4251</v>
      </c>
      <c r="H404" s="57" t="s">
        <v>4252</v>
      </c>
      <c r="I404" s="57" t="s">
        <v>4253</v>
      </c>
      <c r="J404" s="57" t="s">
        <v>4040</v>
      </c>
      <c r="K404" s="57" t="s">
        <v>4254</v>
      </c>
      <c r="L404" s="57" t="s">
        <v>4255</v>
      </c>
      <c r="M404" s="58" t="str">
        <f>HYPERLINK("https://www.local10.com/news/local/2026/04/10/miami-dade-condo-building-manager-accused-of-soliciting-accepting-kickback-payments/","https://www.local10.com/news/local/2026/04/10/miami-dade-condo-building-manager-accused-of-soliciting-accepting-kickback-payments/")</f>
        <v>https://www.local10.com/news/local/2026/04/10/miami-dade-condo-building-manager-accused-of-soliciting-accepting-kickback-payments/</v>
      </c>
      <c r="N404" s="57" t="s">
        <v>144</v>
      </c>
      <c r="O404" s="57" t="s">
        <v>4256</v>
      </c>
      <c r="P404" s="56" t="s">
        <v>119</v>
      </c>
      <c r="Q404" s="56" t="s">
        <v>29</v>
      </c>
    </row>
    <row r="405" spans="1:17" ht="179.75" customHeight="1" x14ac:dyDescent="0.35">
      <c r="A405" s="56" t="s">
        <v>4257</v>
      </c>
      <c r="B405" s="56" t="s">
        <v>147</v>
      </c>
      <c r="C405" s="57" t="s">
        <v>4258</v>
      </c>
      <c r="D405" s="57" t="s">
        <v>135</v>
      </c>
      <c r="E405" s="56" t="s">
        <v>4259</v>
      </c>
      <c r="F405" s="57" t="s">
        <v>4260</v>
      </c>
      <c r="G405" s="56" t="s">
        <v>4261</v>
      </c>
      <c r="H405" s="57" t="s">
        <v>4262</v>
      </c>
      <c r="I405" s="57" t="s">
        <v>4263</v>
      </c>
      <c r="J405" s="57" t="s">
        <v>4040</v>
      </c>
      <c r="K405" s="57" t="s">
        <v>4264</v>
      </c>
      <c r="L405" s="57" t="s">
        <v>4265</v>
      </c>
      <c r="M405" s="58" t="str">
        <f>HYPERLINK("https://miamisao.com/sao-newsletters/miami-sao-newsletter-february-2026/","https://miamisao.com/sao-newsletters/miami-sao-newsletter-february-2026/")</f>
        <v>https://miamisao.com/sao-newsletters/miami-sao-newsletter-february-2026/</v>
      </c>
      <c r="N405" s="57" t="s">
        <v>144</v>
      </c>
      <c r="O405" s="57" t="s">
        <v>4266</v>
      </c>
      <c r="P405" s="56" t="s">
        <v>119</v>
      </c>
      <c r="Q405" s="56" t="s">
        <v>29</v>
      </c>
    </row>
    <row r="406" spans="1:17" ht="179.75" customHeight="1" x14ac:dyDescent="0.35">
      <c r="A406" s="56" t="s">
        <v>4267</v>
      </c>
      <c r="B406" s="56" t="s">
        <v>147</v>
      </c>
      <c r="C406" s="57" t="s">
        <v>4268</v>
      </c>
      <c r="D406" s="57" t="s">
        <v>135</v>
      </c>
      <c r="E406" s="56" t="s">
        <v>4269</v>
      </c>
      <c r="F406" s="57" t="s">
        <v>4270</v>
      </c>
      <c r="G406" s="56" t="s">
        <v>4271</v>
      </c>
      <c r="H406" s="57" t="s">
        <v>4272</v>
      </c>
      <c r="I406" s="57" t="s">
        <v>4273</v>
      </c>
      <c r="J406" s="57" t="s">
        <v>4040</v>
      </c>
      <c r="K406" s="57" t="s">
        <v>4274</v>
      </c>
      <c r="L406" s="57" t="s">
        <v>4275</v>
      </c>
      <c r="M406" s="58" t="str">
        <f>HYPERLINK("https://www.local10.com/news/local/2023/09/13/police-man-steals-from-miami-condo-residents-while-serving-as-association-president/","https://www.local10.com/news/local/2023/09/13/police-man-steals-from-miami-condo-residents-while-serving-as-association-president/")</f>
        <v>https://www.local10.com/news/local/2023/09/13/police-man-steals-from-miami-condo-residents-while-serving-as-association-president/</v>
      </c>
      <c r="N406" s="57" t="s">
        <v>144</v>
      </c>
      <c r="O406" s="57" t="s">
        <v>4276</v>
      </c>
      <c r="P406" s="56" t="s">
        <v>119</v>
      </c>
      <c r="Q406" s="56" t="s">
        <v>29</v>
      </c>
    </row>
    <row r="407" spans="1:17" ht="179.75" customHeight="1" x14ac:dyDescent="0.35">
      <c r="A407" s="56" t="s">
        <v>4277</v>
      </c>
      <c r="B407" s="56" t="s">
        <v>218</v>
      </c>
      <c r="C407" s="57" t="s">
        <v>4278</v>
      </c>
      <c r="D407" s="57" t="s">
        <v>309</v>
      </c>
      <c r="E407" s="56" t="s">
        <v>4279</v>
      </c>
      <c r="F407" s="57" t="s">
        <v>4280</v>
      </c>
      <c r="G407" s="56" t="s">
        <v>4281</v>
      </c>
      <c r="H407" s="57" t="s">
        <v>4282</v>
      </c>
      <c r="I407" s="57" t="s">
        <v>4283</v>
      </c>
      <c r="J407" s="57" t="s">
        <v>4284</v>
      </c>
      <c r="K407" s="57" t="s">
        <v>380</v>
      </c>
      <c r="L407" s="57" t="s">
        <v>4285</v>
      </c>
      <c r="M407" s="58" t="str">
        <f>HYPERLINK("https://www.justice.gov/criminal/criminal-vns/case/hoa-cases","https://www.justice.gov/criminal/criminal-vns/case/hoa-cases")</f>
        <v>https://www.justice.gov/criminal/criminal-vns/case/hoa-cases</v>
      </c>
      <c r="N407" s="57" t="s">
        <v>144</v>
      </c>
      <c r="O407" s="57" t="s">
        <v>4286</v>
      </c>
      <c r="P407" s="56" t="s">
        <v>119</v>
      </c>
      <c r="Q407" s="56" t="s">
        <v>29</v>
      </c>
    </row>
    <row r="408" spans="1:17" ht="179.75" customHeight="1" x14ac:dyDescent="0.35">
      <c r="A408" s="56" t="s">
        <v>4287</v>
      </c>
      <c r="B408" s="56" t="s">
        <v>218</v>
      </c>
      <c r="C408" s="57" t="s">
        <v>4288</v>
      </c>
      <c r="D408" s="57" t="s">
        <v>309</v>
      </c>
      <c r="E408" s="56" t="s">
        <v>4289</v>
      </c>
      <c r="F408" s="57" t="s">
        <v>4290</v>
      </c>
      <c r="G408" s="56" t="s">
        <v>4291</v>
      </c>
      <c r="H408" s="57" t="s">
        <v>4292</v>
      </c>
      <c r="I408" s="57" t="s">
        <v>4293</v>
      </c>
      <c r="J408" s="57" t="s">
        <v>4294</v>
      </c>
      <c r="K408" s="57" t="s">
        <v>380</v>
      </c>
      <c r="L408" s="57" t="s">
        <v>4295</v>
      </c>
      <c r="M408" s="58" t="str">
        <f>HYPERLINK("https://www.justice.gov/criminal/criminal-vns/case/united-states-v-edgar-lugo","https://www.justice.gov/criminal/criminal-vns/case/united-states-v-edgar-lugo")</f>
        <v>https://www.justice.gov/criminal/criminal-vns/case/united-states-v-edgar-lugo</v>
      </c>
      <c r="N408" s="57" t="s">
        <v>144</v>
      </c>
      <c r="O408" s="57" t="s">
        <v>4296</v>
      </c>
      <c r="P408" s="56" t="s">
        <v>119</v>
      </c>
      <c r="Q408" s="56" t="s">
        <v>29</v>
      </c>
    </row>
    <row r="409" spans="1:17" ht="179.75" customHeight="1" x14ac:dyDescent="0.35">
      <c r="A409" s="56" t="s">
        <v>4297</v>
      </c>
      <c r="B409" s="56" t="s">
        <v>218</v>
      </c>
      <c r="C409" s="57" t="s">
        <v>4298</v>
      </c>
      <c r="D409" s="57" t="s">
        <v>1337</v>
      </c>
      <c r="E409" s="56" t="s">
        <v>4299</v>
      </c>
      <c r="F409" s="57" t="s">
        <v>4300</v>
      </c>
      <c r="G409" s="56" t="s">
        <v>4301</v>
      </c>
      <c r="H409" s="57" t="s">
        <v>4302</v>
      </c>
      <c r="I409" s="57" t="s">
        <v>4303</v>
      </c>
      <c r="J409" s="57" t="s">
        <v>4294</v>
      </c>
      <c r="K409" s="57" t="s">
        <v>380</v>
      </c>
      <c r="L409" s="57" t="s">
        <v>4304</v>
      </c>
      <c r="M409" s="58" t="str">
        <f>HYPERLINK("https://www.justice.gov/usao-nj/pr/essex-county-man-admits-wire-fraud-470000-kickback-scheme-involving-jersey-city-condo","https://www.justice.gov/usao-nj/pr/essex-county-man-admits-wire-fraud-470000-kickback-scheme-involving-jersey-city-condo")</f>
        <v>https://www.justice.gov/usao-nj/pr/essex-county-man-admits-wire-fraud-470000-kickback-scheme-involving-jersey-city-condo</v>
      </c>
      <c r="N409" s="57" t="s">
        <v>144</v>
      </c>
      <c r="O409" s="57" t="s">
        <v>4305</v>
      </c>
      <c r="P409" s="56" t="s">
        <v>119</v>
      </c>
      <c r="Q409" s="56" t="s">
        <v>29</v>
      </c>
    </row>
    <row r="410" spans="1:17" ht="179.75" customHeight="1" x14ac:dyDescent="0.35">
      <c r="A410" s="56" t="s">
        <v>4306</v>
      </c>
      <c r="B410" s="56" t="s">
        <v>218</v>
      </c>
      <c r="C410" s="57" t="s">
        <v>4307</v>
      </c>
      <c r="D410" s="57" t="s">
        <v>296</v>
      </c>
      <c r="E410" s="56" t="s">
        <v>4308</v>
      </c>
      <c r="F410" s="57" t="s">
        <v>4309</v>
      </c>
      <c r="G410" s="56" t="s">
        <v>4310</v>
      </c>
      <c r="H410" s="57" t="s">
        <v>4311</v>
      </c>
      <c r="I410" s="57" t="s">
        <v>4312</v>
      </c>
      <c r="J410" s="57" t="s">
        <v>4313</v>
      </c>
      <c r="K410" s="57" t="s">
        <v>380</v>
      </c>
      <c r="L410" s="57" t="s">
        <v>4314</v>
      </c>
      <c r="M410" s="58" t="str">
        <f>HYPERLINK("https://www.justice.gov/usao-ndil/pr/property-manager-charged-fraudulently-pocketing-fees-chicago-condominium-association","https://www.justice.gov/usao-ndil/pr/property-manager-charged-fraudulently-pocketing-fees-chicago-condominium-association")</f>
        <v>https://www.justice.gov/usao-ndil/pr/property-manager-charged-fraudulently-pocketing-fees-chicago-condominium-association</v>
      </c>
      <c r="N410" s="57" t="s">
        <v>144</v>
      </c>
      <c r="O410" s="57" t="s">
        <v>4315</v>
      </c>
      <c r="P410" s="56" t="s">
        <v>119</v>
      </c>
      <c r="Q410" s="56" t="s">
        <v>29</v>
      </c>
    </row>
    <row r="411" spans="1:17" ht="179.75" customHeight="1" x14ac:dyDescent="0.35">
      <c r="A411" s="56" t="s">
        <v>4316</v>
      </c>
      <c r="B411" s="56" t="s">
        <v>218</v>
      </c>
      <c r="C411" s="57" t="s">
        <v>4317</v>
      </c>
      <c r="D411" s="57" t="s">
        <v>149</v>
      </c>
      <c r="E411" s="56" t="s">
        <v>4318</v>
      </c>
      <c r="F411" s="57" t="s">
        <v>4319</v>
      </c>
      <c r="G411" s="56" t="s">
        <v>4320</v>
      </c>
      <c r="H411" s="57" t="s">
        <v>4321</v>
      </c>
      <c r="I411" s="57" t="s">
        <v>4322</v>
      </c>
      <c r="J411" s="57" t="s">
        <v>4323</v>
      </c>
      <c r="K411" s="57" t="s">
        <v>156</v>
      </c>
      <c r="L411" s="57" t="s">
        <v>4324</v>
      </c>
      <c r="M411" s="58" t="str">
        <f>HYPERLINK("https://www.habitatmag.com/Archive2/177-March-2002/Contractors-Plead-Guilty","https://www.habitatmag.com/Archive2/177-March-2002/Contractors-Plead-Guilty")</f>
        <v>https://www.habitatmag.com/Archive2/177-March-2002/Contractors-Plead-Guilty</v>
      </c>
      <c r="N411" s="57" t="s">
        <v>144</v>
      </c>
      <c r="O411" s="57" t="s">
        <v>4325</v>
      </c>
      <c r="P411" s="56" t="s">
        <v>119</v>
      </c>
      <c r="Q411" s="56" t="s">
        <v>29</v>
      </c>
    </row>
    <row r="412" spans="1:17" ht="179.75" customHeight="1" x14ac:dyDescent="0.35">
      <c r="A412" s="56" t="s">
        <v>4326</v>
      </c>
      <c r="B412" s="56" t="s">
        <v>218</v>
      </c>
      <c r="C412" s="57" t="s">
        <v>4327</v>
      </c>
      <c r="D412" s="57" t="s">
        <v>135</v>
      </c>
      <c r="E412" s="56" t="s">
        <v>4328</v>
      </c>
      <c r="F412" s="57" t="s">
        <v>4329</v>
      </c>
      <c r="G412" s="56" t="s">
        <v>4330</v>
      </c>
      <c r="H412" s="57" t="s">
        <v>4331</v>
      </c>
      <c r="I412" s="57" t="s">
        <v>4332</v>
      </c>
      <c r="J412" s="57" t="s">
        <v>4333</v>
      </c>
      <c r="K412" s="57" t="s">
        <v>380</v>
      </c>
      <c r="L412" s="57" t="s">
        <v>4334</v>
      </c>
      <c r="M412" s="58" t="str">
        <f>HYPERLINK("https://www.justice.gov/usao-mdfl/pr/jacksonville-businessman-pleads-guilty-fraud","https://www.justice.gov/usao-mdfl/pr/jacksonville-businessman-pleads-guilty-fraud")</f>
        <v>https://www.justice.gov/usao-mdfl/pr/jacksonville-businessman-pleads-guilty-fraud</v>
      </c>
      <c r="N412" s="57" t="s">
        <v>144</v>
      </c>
      <c r="O412" s="57" t="s">
        <v>4335</v>
      </c>
      <c r="P412" s="56" t="s">
        <v>119</v>
      </c>
      <c r="Q412" s="56" t="s">
        <v>29</v>
      </c>
    </row>
    <row r="413" spans="1:17" ht="179.75" customHeight="1" x14ac:dyDescent="0.35">
      <c r="A413" s="56" t="s">
        <v>4336</v>
      </c>
      <c r="B413" s="56" t="s">
        <v>218</v>
      </c>
      <c r="C413" s="57" t="s">
        <v>4337</v>
      </c>
      <c r="D413" s="57" t="s">
        <v>149</v>
      </c>
      <c r="E413" s="56" t="s">
        <v>4338</v>
      </c>
      <c r="F413" s="57" t="s">
        <v>4339</v>
      </c>
      <c r="G413" s="56" t="s">
        <v>4340</v>
      </c>
      <c r="H413" s="57" t="s">
        <v>4341</v>
      </c>
      <c r="I413" s="57" t="s">
        <v>4342</v>
      </c>
      <c r="J413" s="57" t="s">
        <v>4343</v>
      </c>
      <c r="K413" s="57" t="s">
        <v>156</v>
      </c>
      <c r="L413" s="57" t="s">
        <v>4344</v>
      </c>
      <c r="M413" s="58" t="str">
        <f>HYPERLINK("https://www.habitatmag.com/Publication-Content/Legal-Financial/2015/2015-February/Indictments-in-Real-Estate-World-Again","https://www.habitatmag.com/Publication-Content/Legal-Financial/2015/2015-February/Indictments-in-Real-Estate-World-Again")</f>
        <v>https://www.habitatmag.com/Publication-Content/Legal-Financial/2015/2015-February/Indictments-in-Real-Estate-World-Again</v>
      </c>
      <c r="N413" s="57" t="s">
        <v>4345</v>
      </c>
      <c r="O413" s="57" t="s">
        <v>4346</v>
      </c>
      <c r="P413" s="56" t="s">
        <v>119</v>
      </c>
      <c r="Q413" s="56" t="s">
        <v>29</v>
      </c>
    </row>
    <row r="414" spans="1:17" ht="179.75" customHeight="1" x14ac:dyDescent="0.35">
      <c r="A414" s="56" t="s">
        <v>4347</v>
      </c>
      <c r="B414" s="56" t="s">
        <v>218</v>
      </c>
      <c r="C414" s="57" t="s">
        <v>4348</v>
      </c>
      <c r="D414" s="57" t="s">
        <v>135</v>
      </c>
      <c r="E414" s="56" t="s">
        <v>4249</v>
      </c>
      <c r="F414" s="57" t="s">
        <v>4349</v>
      </c>
      <c r="G414" s="56" t="s">
        <v>4350</v>
      </c>
      <c r="H414" s="57" t="s">
        <v>4351</v>
      </c>
      <c r="I414" s="57" t="s">
        <v>4352</v>
      </c>
      <c r="J414" s="57" t="s">
        <v>4040</v>
      </c>
      <c r="K414" s="57" t="s">
        <v>4353</v>
      </c>
      <c r="L414" s="57" t="s">
        <v>4354</v>
      </c>
      <c r="M414" s="58" t="str">
        <f>HYPERLINK("https://www.miamiherald.com/news/local/community/miami-dade/article315379797.html","https://www.miamiherald.com/news/local/community/miami-dade/article315379797.html")</f>
        <v>https://www.miamiherald.com/news/local/community/miami-dade/article315379797.html</v>
      </c>
      <c r="N414" s="57" t="s">
        <v>144</v>
      </c>
      <c r="O414" s="57" t="s">
        <v>4355</v>
      </c>
      <c r="P414" s="56" t="s">
        <v>119</v>
      </c>
      <c r="Q414" s="56" t="s">
        <v>29</v>
      </c>
    </row>
    <row r="415" spans="1:17" ht="179.75" customHeight="1" x14ac:dyDescent="0.35">
      <c r="A415" s="56" t="s">
        <v>4356</v>
      </c>
      <c r="B415" s="56" t="s">
        <v>218</v>
      </c>
      <c r="C415" s="57" t="s">
        <v>4357</v>
      </c>
      <c r="D415" s="57" t="s">
        <v>135</v>
      </c>
      <c r="E415" s="56" t="s">
        <v>4358</v>
      </c>
      <c r="F415" s="57" t="s">
        <v>4359</v>
      </c>
      <c r="G415" s="56" t="s">
        <v>4360</v>
      </c>
      <c r="H415" s="57" t="s">
        <v>4361</v>
      </c>
      <c r="I415" s="57" t="s">
        <v>4362</v>
      </c>
      <c r="J415" s="57" t="s">
        <v>4363</v>
      </c>
      <c r="K415" s="57" t="s">
        <v>4364</v>
      </c>
      <c r="L415" s="57" t="s">
        <v>4365</v>
      </c>
      <c r="M415" s="58" t="str">
        <f>HYPERLINK("https://www.floridabar.org/the-florida-bar-news/despite-recent-reforms-some-call-for-more-condo-associations-restrictions/","https://www.floridabar.org/the-florida-bar-news/despite-recent-reforms-some-call-for-more-condo-associations-restrictions/")</f>
        <v>https://www.floridabar.org/the-florida-bar-news/despite-recent-reforms-some-call-for-more-condo-associations-restrictions/</v>
      </c>
      <c r="N415" s="57" t="s">
        <v>4366</v>
      </c>
      <c r="O415" s="57" t="s">
        <v>4367</v>
      </c>
      <c r="P415" s="56" t="s">
        <v>119</v>
      </c>
      <c r="Q415" s="56" t="s">
        <v>29</v>
      </c>
    </row>
    <row r="416" spans="1:17" ht="179.75" customHeight="1" x14ac:dyDescent="0.35">
      <c r="A416" s="56" t="s">
        <v>4368</v>
      </c>
      <c r="B416" s="56" t="s">
        <v>147</v>
      </c>
      <c r="C416" s="57" t="s">
        <v>4369</v>
      </c>
      <c r="D416" s="57" t="s">
        <v>135</v>
      </c>
      <c r="E416" s="56" t="s">
        <v>4249</v>
      </c>
      <c r="F416" s="57" t="s">
        <v>4370</v>
      </c>
      <c r="G416" s="56" t="s">
        <v>4371</v>
      </c>
      <c r="H416" s="57" t="s">
        <v>4372</v>
      </c>
      <c r="I416" s="57" t="s">
        <v>4373</v>
      </c>
      <c r="J416" s="57" t="s">
        <v>4040</v>
      </c>
      <c r="K416" s="57" t="s">
        <v>4374</v>
      </c>
      <c r="L416" s="57" t="s">
        <v>4375</v>
      </c>
      <c r="M416" s="58" t="str">
        <f>HYPERLINK("https://www.miamidade.gov/global/release.page?Mduid_release=rel1775744106709367","https://www.miamidade.gov/global/release.page?Mduid_release=rel1775744106709367")</f>
        <v>https://www.miamidade.gov/global/release.page?Mduid_release=rel1775744106709367</v>
      </c>
      <c r="N416" s="57" t="s">
        <v>144</v>
      </c>
      <c r="O416" s="57" t="s">
        <v>4376</v>
      </c>
      <c r="P416" s="56" t="s">
        <v>119</v>
      </c>
      <c r="Q416" s="56" t="s">
        <v>29</v>
      </c>
    </row>
    <row r="417" spans="1:17" ht="179.75" customHeight="1" x14ac:dyDescent="0.35">
      <c r="A417" s="56" t="s">
        <v>4377</v>
      </c>
      <c r="B417" s="56" t="s">
        <v>107</v>
      </c>
      <c r="C417" s="57" t="s">
        <v>4378</v>
      </c>
      <c r="D417" s="57" t="s">
        <v>135</v>
      </c>
      <c r="E417" s="56" t="s">
        <v>4379</v>
      </c>
      <c r="F417" s="57" t="s">
        <v>4380</v>
      </c>
      <c r="G417" s="56" t="s">
        <v>4381</v>
      </c>
      <c r="H417" s="57" t="s">
        <v>4382</v>
      </c>
      <c r="I417" s="57" t="s">
        <v>4383</v>
      </c>
      <c r="J417" s="57" t="s">
        <v>4040</v>
      </c>
      <c r="K417" s="57" t="s">
        <v>3512</v>
      </c>
      <c r="L417" s="57" t="s">
        <v>4384</v>
      </c>
      <c r="M417" s="58" t="str">
        <f>HYPERLINK("https://www.cbsnews.com/miami/news/3-accused-of-stealing-42000-from-miami-dade-condo-association/","https://www.cbsnews.com/miami/news/3-accused-of-stealing-42000-from-miami-dade-condo-association/")</f>
        <v>https://www.cbsnews.com/miami/news/3-accused-of-stealing-42000-from-miami-dade-condo-association/</v>
      </c>
      <c r="N417" s="57" t="s">
        <v>144</v>
      </c>
      <c r="O417" s="57" t="s">
        <v>4385</v>
      </c>
      <c r="P417" s="56" t="s">
        <v>119</v>
      </c>
      <c r="Q417" s="56" t="s">
        <v>29</v>
      </c>
    </row>
    <row r="418" spans="1:17" ht="179.75" customHeight="1" x14ac:dyDescent="0.35">
      <c r="A418" s="56" t="s">
        <v>4386</v>
      </c>
      <c r="B418" s="56" t="s">
        <v>218</v>
      </c>
      <c r="C418" s="57" t="s">
        <v>4387</v>
      </c>
      <c r="D418" s="57" t="s">
        <v>135</v>
      </c>
      <c r="E418" s="56" t="s">
        <v>4388</v>
      </c>
      <c r="F418" s="57" t="s">
        <v>4389</v>
      </c>
      <c r="G418" s="56" t="s">
        <v>4390</v>
      </c>
      <c r="H418" s="57" t="s">
        <v>4391</v>
      </c>
      <c r="I418" s="57" t="s">
        <v>4392</v>
      </c>
      <c r="J418" s="57" t="s">
        <v>4040</v>
      </c>
      <c r="K418" s="57" t="s">
        <v>3512</v>
      </c>
      <c r="L418" s="57" t="s">
        <v>4393</v>
      </c>
      <c r="M418" s="58" t="str">
        <f>HYPERLINK("https://www.cbsnews.com/miami/news/miami-dade-hoa-president-arrested-in-alleged-theft-misappropriation-of-association-funds/","https://www.cbsnews.com/miami/news/miami-dade-hoa-president-arrested-in-alleged-theft-misappropriation-of-association-funds/")</f>
        <v>https://www.cbsnews.com/miami/news/miami-dade-hoa-president-arrested-in-alleged-theft-misappropriation-of-association-funds/</v>
      </c>
      <c r="N418" s="57" t="s">
        <v>144</v>
      </c>
      <c r="O418" s="57" t="s">
        <v>4394</v>
      </c>
      <c r="P418" s="56" t="s">
        <v>119</v>
      </c>
      <c r="Q418" s="56" t="s">
        <v>29</v>
      </c>
    </row>
    <row r="419" spans="1:17" ht="179.75" customHeight="1" x14ac:dyDescent="0.35">
      <c r="A419" s="56" t="s">
        <v>4395</v>
      </c>
      <c r="B419" s="56" t="s">
        <v>218</v>
      </c>
      <c r="C419" s="57" t="s">
        <v>4396</v>
      </c>
      <c r="D419" s="57" t="s">
        <v>135</v>
      </c>
      <c r="E419" s="56" t="s">
        <v>4397</v>
      </c>
      <c r="F419" s="57" t="s">
        <v>4398</v>
      </c>
      <c r="G419" s="56" t="s">
        <v>4399</v>
      </c>
      <c r="H419" s="57" t="s">
        <v>4400</v>
      </c>
      <c r="I419" s="57" t="s">
        <v>4401</v>
      </c>
      <c r="J419" s="57" t="s">
        <v>4040</v>
      </c>
      <c r="K419" s="57" t="s">
        <v>4402</v>
      </c>
      <c r="L419" s="57" t="s">
        <v>4403</v>
      </c>
      <c r="M419" s="58" t="str">
        <f>HYPERLINK("https://www.miamiherald.com/news/local/crime/article312890935.html","https://www.miamiherald.com/news/local/crime/article312890935.html")</f>
        <v>https://www.miamiherald.com/news/local/crime/article312890935.html</v>
      </c>
      <c r="N419" s="57" t="s">
        <v>144</v>
      </c>
      <c r="O419" s="57" t="s">
        <v>4404</v>
      </c>
      <c r="P419" s="56" t="s">
        <v>119</v>
      </c>
      <c r="Q419" s="56" t="s">
        <v>29</v>
      </c>
    </row>
    <row r="420" spans="1:17" ht="179.75" customHeight="1" x14ac:dyDescent="0.35">
      <c r="A420" s="56" t="s">
        <v>4405</v>
      </c>
      <c r="B420" s="56" t="s">
        <v>218</v>
      </c>
      <c r="C420" s="57" t="s">
        <v>4406</v>
      </c>
      <c r="D420" s="57" t="s">
        <v>122</v>
      </c>
      <c r="E420" s="56" t="s">
        <v>4407</v>
      </c>
      <c r="F420" s="57" t="s">
        <v>4408</v>
      </c>
      <c r="G420" s="56" t="s">
        <v>4409</v>
      </c>
      <c r="H420" s="57" t="s">
        <v>4410</v>
      </c>
      <c r="I420" s="57" t="s">
        <v>4411</v>
      </c>
      <c r="J420" s="57" t="s">
        <v>4040</v>
      </c>
      <c r="K420" s="57" t="s">
        <v>4412</v>
      </c>
      <c r="L420" s="57" t="s">
        <v>4413</v>
      </c>
      <c r="M420" s="58" t="str">
        <f>HYPERLINK("https://abc13.com/19053765/","https://abc13.com/19053765/")</f>
        <v>https://abc13.com/19053765/</v>
      </c>
      <c r="N420" s="57" t="s">
        <v>144</v>
      </c>
      <c r="O420" s="57" t="s">
        <v>4414</v>
      </c>
      <c r="P420" s="56" t="s">
        <v>119</v>
      </c>
      <c r="Q420" s="56" t="s">
        <v>29</v>
      </c>
    </row>
    <row r="421" spans="1:17" ht="179.75" customHeight="1" x14ac:dyDescent="0.35">
      <c r="A421" s="56" t="s">
        <v>4415</v>
      </c>
      <c r="B421" s="56" t="s">
        <v>218</v>
      </c>
      <c r="C421" s="57" t="s">
        <v>4416</v>
      </c>
      <c r="D421" s="57" t="s">
        <v>1337</v>
      </c>
      <c r="E421" s="56" t="s">
        <v>4299</v>
      </c>
      <c r="F421" s="57" t="s">
        <v>4300</v>
      </c>
      <c r="G421" s="56" t="s">
        <v>4417</v>
      </c>
      <c r="H421" s="57" t="s">
        <v>4418</v>
      </c>
      <c r="I421" s="57" t="s">
        <v>4419</v>
      </c>
      <c r="J421" s="57" t="s">
        <v>4333</v>
      </c>
      <c r="K421" s="57" t="s">
        <v>380</v>
      </c>
      <c r="L421" s="57" t="s">
        <v>4420</v>
      </c>
      <c r="M421" s="58" t="str">
        <f>HYPERLINK("https://www.justice.gov/usao-nj/pr/lead-property-manager-admits-conspiracy-committ-wire-fraud-470000-kickback-scheme","https://www.justice.gov/usao-nj/pr/lead-property-manager-admits-conspiracy-committ-wire-fraud-470000-kickback-scheme")</f>
        <v>https://www.justice.gov/usao-nj/pr/lead-property-manager-admits-conspiracy-committ-wire-fraud-470000-kickback-scheme</v>
      </c>
      <c r="N421" s="57" t="s">
        <v>144</v>
      </c>
      <c r="O421" s="57" t="s">
        <v>4421</v>
      </c>
      <c r="P421" s="56" t="s">
        <v>119</v>
      </c>
      <c r="Q421" s="56" t="s">
        <v>29</v>
      </c>
    </row>
    <row r="422" spans="1:17" ht="179.75" customHeight="1" x14ac:dyDescent="0.35">
      <c r="A422" s="56" t="s">
        <v>4422</v>
      </c>
      <c r="B422" s="56" t="s">
        <v>218</v>
      </c>
      <c r="C422" s="57" t="s">
        <v>4423</v>
      </c>
      <c r="D422" s="57" t="s">
        <v>135</v>
      </c>
      <c r="E422" s="56" t="s">
        <v>4424</v>
      </c>
      <c r="F422" s="57" t="s">
        <v>4425</v>
      </c>
      <c r="G422" s="56" t="s">
        <v>4426</v>
      </c>
      <c r="H422" s="57" t="s">
        <v>4427</v>
      </c>
      <c r="I422" s="57" t="s">
        <v>4428</v>
      </c>
      <c r="J422" s="57" t="s">
        <v>4040</v>
      </c>
      <c r="K422" s="57" t="s">
        <v>142</v>
      </c>
      <c r="L422" s="57" t="s">
        <v>4429</v>
      </c>
      <c r="M422" s="58" t="str">
        <f>HYPERLINK("https://therealdeal.com/miami/2024/10/02/condo-board-president-stole-1-5m-from-association-police/","https://therealdeal.com/miami/2024/10/02/condo-board-president-stole-1-5m-from-association-police/")</f>
        <v>https://therealdeal.com/miami/2024/10/02/condo-board-president-stole-1-5m-from-association-police/</v>
      </c>
      <c r="N422" s="57" t="s">
        <v>144</v>
      </c>
      <c r="O422" s="57" t="s">
        <v>4430</v>
      </c>
      <c r="P422" s="56" t="s">
        <v>119</v>
      </c>
      <c r="Q422" s="56" t="s">
        <v>29</v>
      </c>
    </row>
    <row r="423" spans="1:17" ht="179.75" customHeight="1" x14ac:dyDescent="0.35">
      <c r="A423" s="56" t="s">
        <v>4431</v>
      </c>
      <c r="B423" s="56" t="s">
        <v>218</v>
      </c>
      <c r="C423" s="57" t="s">
        <v>4432</v>
      </c>
      <c r="D423" s="57" t="s">
        <v>135</v>
      </c>
      <c r="E423" s="56" t="s">
        <v>4433</v>
      </c>
      <c r="F423" s="57" t="s">
        <v>4434</v>
      </c>
      <c r="G423" s="56" t="s">
        <v>4435</v>
      </c>
      <c r="H423" s="57" t="s">
        <v>4436</v>
      </c>
      <c r="I423" s="57" t="s">
        <v>4437</v>
      </c>
      <c r="J423" s="57" t="s">
        <v>4040</v>
      </c>
      <c r="K423" s="57" t="s">
        <v>4402</v>
      </c>
      <c r="L423" s="57" t="s">
        <v>4438</v>
      </c>
      <c r="M423" s="58" t="str">
        <f>HYPERLINK("https://www.miamiherald.com/news/local/crime/article294468304.html","https://www.miamiherald.com/news/local/crime/article294468304.html")</f>
        <v>https://www.miamiherald.com/news/local/crime/article294468304.html</v>
      </c>
      <c r="N423" s="57" t="s">
        <v>4439</v>
      </c>
      <c r="O423" s="57" t="s">
        <v>4440</v>
      </c>
      <c r="P423" s="56" t="s">
        <v>119</v>
      </c>
      <c r="Q423" s="56" t="s">
        <v>29</v>
      </c>
    </row>
    <row r="424" spans="1:17" ht="179.75" customHeight="1" x14ac:dyDescent="0.35">
      <c r="A424" s="56" t="s">
        <v>4441</v>
      </c>
      <c r="B424" s="56" t="s">
        <v>218</v>
      </c>
      <c r="C424" s="57" t="s">
        <v>4442</v>
      </c>
      <c r="D424" s="57" t="s">
        <v>135</v>
      </c>
      <c r="E424" s="56" t="s">
        <v>4443</v>
      </c>
      <c r="F424" s="57" t="s">
        <v>4444</v>
      </c>
      <c r="G424" s="56" t="s">
        <v>4445</v>
      </c>
      <c r="H424" s="57" t="s">
        <v>4446</v>
      </c>
      <c r="I424" s="57" t="s">
        <v>4447</v>
      </c>
      <c r="J424" s="57" t="s">
        <v>4040</v>
      </c>
      <c r="K424" s="57" t="s">
        <v>4402</v>
      </c>
      <c r="L424" s="57" t="s">
        <v>4448</v>
      </c>
      <c r="M424" s="58" t="str">
        <f>HYPERLINK("https://www.miamiherald.com/news/local/community/miami-dade/kendall/article295250149.html","https://www.miamiherald.com/news/local/community/miami-dade/kendall/article295250149.html")</f>
        <v>https://www.miamiherald.com/news/local/community/miami-dade/kendall/article295250149.html</v>
      </c>
      <c r="N424" s="57" t="s">
        <v>4439</v>
      </c>
      <c r="O424" s="57" t="s">
        <v>4449</v>
      </c>
      <c r="P424" s="56" t="s">
        <v>119</v>
      </c>
      <c r="Q424" s="56" t="s">
        <v>29</v>
      </c>
    </row>
    <row r="425" spans="1:17" ht="179.75" customHeight="1" x14ac:dyDescent="0.35">
      <c r="A425" s="56" t="s">
        <v>4450</v>
      </c>
      <c r="B425" s="56" t="s">
        <v>218</v>
      </c>
      <c r="C425" s="57" t="s">
        <v>4451</v>
      </c>
      <c r="D425" s="57" t="s">
        <v>135</v>
      </c>
      <c r="E425" s="56" t="s">
        <v>4452</v>
      </c>
      <c r="F425" s="57" t="s">
        <v>3467</v>
      </c>
      <c r="G425" s="56" t="s">
        <v>4453</v>
      </c>
      <c r="H425" s="57" t="s">
        <v>4454</v>
      </c>
      <c r="I425" s="57" t="s">
        <v>4455</v>
      </c>
      <c r="J425" s="57" t="s">
        <v>4456</v>
      </c>
      <c r="K425" s="57" t="s">
        <v>4274</v>
      </c>
      <c r="L425" s="57" t="s">
        <v>4457</v>
      </c>
      <c r="M425" s="58" t="str">
        <f>HYPERLINK("https://www.local10.com/news/local/2026/04/30/former-hammocks-hoa-president-husband-plead-guilty-in-massive-fraud-case/","https://www.local10.com/news/local/2026/04/30/former-hammocks-hoa-president-husband-plead-guilty-in-massive-fraud-case/")</f>
        <v>https://www.local10.com/news/local/2026/04/30/former-hammocks-hoa-president-husband-plead-guilty-in-massive-fraud-case/</v>
      </c>
      <c r="N425" s="57" t="s">
        <v>4439</v>
      </c>
      <c r="O425" s="57" t="s">
        <v>4458</v>
      </c>
      <c r="P425" s="56" t="s">
        <v>119</v>
      </c>
      <c r="Q425" s="56" t="s">
        <v>29</v>
      </c>
    </row>
    <row r="426" spans="1:17" ht="179.75" customHeight="1" x14ac:dyDescent="0.35">
      <c r="A426" s="56" t="s">
        <v>4459</v>
      </c>
      <c r="B426" s="56" t="s">
        <v>218</v>
      </c>
      <c r="C426" s="57" t="s">
        <v>4460</v>
      </c>
      <c r="D426" s="57" t="s">
        <v>135</v>
      </c>
      <c r="E426" s="56" t="s">
        <v>4461</v>
      </c>
      <c r="F426" s="57" t="s">
        <v>3507</v>
      </c>
      <c r="G426" s="56" t="s">
        <v>4462</v>
      </c>
      <c r="H426" s="57" t="s">
        <v>4463</v>
      </c>
      <c r="I426" s="57" t="s">
        <v>4464</v>
      </c>
      <c r="J426" s="57" t="s">
        <v>4040</v>
      </c>
      <c r="K426" s="57" t="s">
        <v>4465</v>
      </c>
      <c r="L426" s="57" t="s">
        <v>4466</v>
      </c>
      <c r="M426" s="58" t="str">
        <f>HYPERLINK("https://www.nbcmiami.com/news/local/ex-president-of-miami-condo-association-arrested-for-grand-theft-police/3111462/","https://www.nbcmiami.com/news/local/ex-president-of-miami-condo-association-arrested-for-grand-theft-police/3111462/")</f>
        <v>https://www.nbcmiami.com/news/local/ex-president-of-miami-condo-association-arrested-for-grand-theft-police/3111462/</v>
      </c>
      <c r="N426" s="57" t="s">
        <v>144</v>
      </c>
      <c r="O426" s="57" t="s">
        <v>4467</v>
      </c>
      <c r="P426" s="56" t="s">
        <v>119</v>
      </c>
      <c r="Q426" s="56" t="s">
        <v>29</v>
      </c>
    </row>
    <row r="427" spans="1:17" ht="179.75" customHeight="1" x14ac:dyDescent="0.35">
      <c r="A427" s="56" t="s">
        <v>4468</v>
      </c>
      <c r="B427" s="56" t="s">
        <v>218</v>
      </c>
      <c r="C427" s="57" t="s">
        <v>4469</v>
      </c>
      <c r="D427" s="57" t="s">
        <v>135</v>
      </c>
      <c r="E427" s="56" t="s">
        <v>4470</v>
      </c>
      <c r="F427" s="57" t="s">
        <v>4471</v>
      </c>
      <c r="G427" s="56" t="s">
        <v>4472</v>
      </c>
      <c r="H427" s="57" t="s">
        <v>4473</v>
      </c>
      <c r="I427" s="57" t="s">
        <v>4474</v>
      </c>
      <c r="J427" s="57" t="s">
        <v>4323</v>
      </c>
      <c r="K427" s="57" t="s">
        <v>142</v>
      </c>
      <c r="L427" s="57" t="s">
        <v>4475</v>
      </c>
      <c r="M427" s="58" t="str">
        <f>HYPERLINK("https://therealdeal.com/miami/2026/05/01/crime-syndicate-inside-the-hammocks-fraud-guilty-pleas/","https://therealdeal.com/miami/2026/05/01/crime-syndicate-inside-the-hammocks-fraud-guilty-pleas/")</f>
        <v>https://therealdeal.com/miami/2026/05/01/crime-syndicate-inside-the-hammocks-fraud-guilty-pleas/</v>
      </c>
      <c r="N427" s="57" t="s">
        <v>4439</v>
      </c>
      <c r="O427" s="57" t="s">
        <v>4476</v>
      </c>
      <c r="P427" s="56" t="s">
        <v>119</v>
      </c>
      <c r="Q427" s="56" t="s">
        <v>29</v>
      </c>
    </row>
    <row r="428" spans="1:17" ht="179.75" customHeight="1" x14ac:dyDescent="0.35">
      <c r="A428" s="56" t="s">
        <v>4477</v>
      </c>
      <c r="B428" s="56" t="s">
        <v>107</v>
      </c>
      <c r="C428" s="57" t="s">
        <v>4478</v>
      </c>
      <c r="D428" s="57" t="s">
        <v>195</v>
      </c>
      <c r="E428" s="56" t="s">
        <v>4479</v>
      </c>
      <c r="F428" s="57" t="s">
        <v>4480</v>
      </c>
      <c r="G428" s="56" t="s">
        <v>4481</v>
      </c>
      <c r="H428" s="57" t="s">
        <v>4482</v>
      </c>
      <c r="I428" s="57" t="s">
        <v>4483</v>
      </c>
      <c r="J428" s="57" t="s">
        <v>4484</v>
      </c>
      <c r="K428" s="57" t="s">
        <v>380</v>
      </c>
      <c r="L428" s="57" t="s">
        <v>4485</v>
      </c>
      <c r="M428" s="58" t="str">
        <f>HYPERLINK("https://www.justice.gov/usao-sdca/pr/property-manager-and-firm-charged-defrauding-homeowners-association-247000","https://www.justice.gov/usao-sdca/pr/property-manager-and-firm-charged-defrauding-homeowners-association-247000")</f>
        <v>https://www.justice.gov/usao-sdca/pr/property-manager-and-firm-charged-defrauding-homeowners-association-247000</v>
      </c>
      <c r="N428" s="57" t="s">
        <v>144</v>
      </c>
      <c r="O428" s="57" t="s">
        <v>4486</v>
      </c>
      <c r="P428" s="56" t="s">
        <v>119</v>
      </c>
      <c r="Q428" s="56" t="s">
        <v>29</v>
      </c>
    </row>
    <row r="429" spans="1:17" ht="179.75" customHeight="1" x14ac:dyDescent="0.35">
      <c r="A429" s="56" t="s">
        <v>4487</v>
      </c>
      <c r="B429" s="56" t="s">
        <v>107</v>
      </c>
      <c r="C429" s="57" t="s">
        <v>4488</v>
      </c>
      <c r="D429" s="57" t="s">
        <v>135</v>
      </c>
      <c r="E429" s="56" t="s">
        <v>4489</v>
      </c>
      <c r="F429" s="57" t="s">
        <v>4490</v>
      </c>
      <c r="G429" s="56" t="s">
        <v>4491</v>
      </c>
      <c r="H429" s="57" t="s">
        <v>4492</v>
      </c>
      <c r="I429" s="57" t="s">
        <v>4493</v>
      </c>
      <c r="J429" s="57" t="s">
        <v>4494</v>
      </c>
      <c r="K429" s="57" t="s">
        <v>4495</v>
      </c>
      <c r="L429" s="57" t="s">
        <v>4496</v>
      </c>
      <c r="M429" s="58" t="str">
        <f>HYPERLINK("https://www.ccfj.net/condoPPGuiltyPlea.html","https://www.ccfj.net/condoPPGuiltyPlea.html")</f>
        <v>https://www.ccfj.net/condoPPGuiltyPlea.html</v>
      </c>
      <c r="N429" s="57" t="s">
        <v>144</v>
      </c>
      <c r="O429" s="57" t="s">
        <v>4497</v>
      </c>
      <c r="P429" s="56" t="s">
        <v>119</v>
      </c>
      <c r="Q429" s="56" t="s">
        <v>29</v>
      </c>
    </row>
    <row r="430" spans="1:17" ht="179.75" customHeight="1" x14ac:dyDescent="0.35">
      <c r="A430" s="56" t="s">
        <v>4498</v>
      </c>
      <c r="B430" s="56" t="s">
        <v>218</v>
      </c>
      <c r="C430" s="57" t="s">
        <v>4499</v>
      </c>
      <c r="D430" s="57" t="s">
        <v>4500</v>
      </c>
      <c r="E430" s="56" t="s">
        <v>4501</v>
      </c>
      <c r="F430" s="57" t="s">
        <v>4502</v>
      </c>
      <c r="G430" s="56" t="s">
        <v>4503</v>
      </c>
      <c r="H430" s="57" t="s">
        <v>4504</v>
      </c>
      <c r="I430" s="57" t="s">
        <v>4505</v>
      </c>
      <c r="J430" s="57" t="s">
        <v>4506</v>
      </c>
      <c r="K430" s="57" t="s">
        <v>4507</v>
      </c>
      <c r="L430" s="57" t="s">
        <v>4508</v>
      </c>
      <c r="M430" s="58" t="str">
        <f>HYPERLINK("https://www.justice.gov/usao-mn/pr/california-woman-sentenced-prison-embezzling-more-1-million-employer","https://www.justice.gov/usao-mn/pr/california-woman-sentenced-prison-embezzling-more-1-million-employer")</f>
        <v>https://www.justice.gov/usao-mn/pr/california-woman-sentenced-prison-embezzling-more-1-million-employer</v>
      </c>
      <c r="N430" s="57" t="s">
        <v>4509</v>
      </c>
      <c r="O430" s="57" t="s">
        <v>4510</v>
      </c>
      <c r="P430" s="56" t="s">
        <v>119</v>
      </c>
      <c r="Q430" s="56" t="s">
        <v>29</v>
      </c>
    </row>
    <row r="431" spans="1:17" ht="179.75" customHeight="1" x14ac:dyDescent="0.35">
      <c r="A431" s="56" t="s">
        <v>4511</v>
      </c>
      <c r="B431" s="56" t="s">
        <v>218</v>
      </c>
      <c r="C431" s="57" t="s">
        <v>4512</v>
      </c>
      <c r="D431" s="57" t="s">
        <v>135</v>
      </c>
      <c r="E431" s="56" t="s">
        <v>4513</v>
      </c>
      <c r="F431" s="57" t="s">
        <v>4514</v>
      </c>
      <c r="G431" s="56" t="s">
        <v>4515</v>
      </c>
      <c r="H431" s="57" t="s">
        <v>4516</v>
      </c>
      <c r="I431" s="57" t="s">
        <v>4517</v>
      </c>
      <c r="J431" s="57" t="s">
        <v>4518</v>
      </c>
      <c r="K431" s="57" t="s">
        <v>4519</v>
      </c>
      <c r="L431" s="57" t="s">
        <v>4520</v>
      </c>
      <c r="M431" s="58" t="str">
        <f>HYPERLINK("https://www.nbcmiami.com/news/local/aventura-condo-manager-arrested-in-kickback-scheme/22350/","https://www.nbcmiami.com/news/local/aventura-condo-manager-arrested-in-kickback-scheme/22350/")</f>
        <v>https://www.nbcmiami.com/news/local/aventura-condo-manager-arrested-in-kickback-scheme/22350/</v>
      </c>
      <c r="N431" s="57" t="s">
        <v>4521</v>
      </c>
      <c r="O431" s="57" t="s">
        <v>4522</v>
      </c>
      <c r="P431" s="56" t="s">
        <v>119</v>
      </c>
      <c r="Q431" s="56" t="s">
        <v>29</v>
      </c>
    </row>
    <row r="432" spans="1:17" ht="179.75" customHeight="1" x14ac:dyDescent="0.35">
      <c r="A432" s="56" t="s">
        <v>4523</v>
      </c>
      <c r="B432" s="56" t="s">
        <v>218</v>
      </c>
      <c r="C432" s="57" t="s">
        <v>4524</v>
      </c>
      <c r="D432" s="57" t="s">
        <v>135</v>
      </c>
      <c r="E432" s="56" t="s">
        <v>4525</v>
      </c>
      <c r="F432" s="57" t="s">
        <v>4526</v>
      </c>
      <c r="G432" s="56" t="s">
        <v>4527</v>
      </c>
      <c r="H432" s="57" t="s">
        <v>4528</v>
      </c>
      <c r="I432" s="57" t="s">
        <v>4529</v>
      </c>
      <c r="J432" s="57" t="s">
        <v>4530</v>
      </c>
      <c r="K432" s="57" t="s">
        <v>4531</v>
      </c>
      <c r="L432" s="57" t="s">
        <v>4532</v>
      </c>
      <c r="M432" s="58" t="str">
        <f>HYPERLINK("https://www.ppines.com/Archive.aspx?ADID=856","https://www.ppines.com/Archive.aspx?ADID=856")</f>
        <v>https://www.ppines.com/Archive.aspx?ADID=856</v>
      </c>
      <c r="N432" s="57" t="s">
        <v>4533</v>
      </c>
      <c r="O432" s="57" t="s">
        <v>4534</v>
      </c>
      <c r="P432" s="56" t="s">
        <v>119</v>
      </c>
      <c r="Q432" s="56" t="s">
        <v>29</v>
      </c>
    </row>
    <row r="433" spans="1:17" ht="179.75" customHeight="1" x14ac:dyDescent="0.35">
      <c r="A433" s="56" t="s">
        <v>4535</v>
      </c>
      <c r="B433" s="56" t="s">
        <v>218</v>
      </c>
      <c r="C433" s="57" t="s">
        <v>4536</v>
      </c>
      <c r="D433" s="57" t="s">
        <v>135</v>
      </c>
      <c r="E433" s="56" t="s">
        <v>4537</v>
      </c>
      <c r="F433" s="57" t="s">
        <v>4538</v>
      </c>
      <c r="G433" s="56" t="s">
        <v>4539</v>
      </c>
      <c r="H433" s="57" t="s">
        <v>4540</v>
      </c>
      <c r="I433" s="57" t="s">
        <v>4541</v>
      </c>
      <c r="J433" s="57" t="s">
        <v>4542</v>
      </c>
      <c r="K433" s="57" t="s">
        <v>4543</v>
      </c>
      <c r="L433" s="57" t="s">
        <v>4544</v>
      </c>
      <c r="M433" s="58" t="str">
        <f>HYPERLINK("https://www.wflx.com/2026/04/07/warrant-issued-property-manager-accused-embezzling-thousands-martin-county-hoas/","https://www.wflx.com/2026/04/07/warrant-issued-property-manager-accused-embezzling-thousands-martin-county-hoas/")</f>
        <v>https://www.wflx.com/2026/04/07/warrant-issued-property-manager-accused-embezzling-thousands-martin-county-hoas/</v>
      </c>
      <c r="N433" s="57" t="s">
        <v>4545</v>
      </c>
      <c r="O433" s="57" t="s">
        <v>4546</v>
      </c>
      <c r="P433" s="56" t="s">
        <v>119</v>
      </c>
      <c r="Q433" s="56" t="s">
        <v>29</v>
      </c>
    </row>
    <row r="434" spans="1:17" ht="179.75" customHeight="1" x14ac:dyDescent="0.35">
      <c r="A434" s="56" t="s">
        <v>4547</v>
      </c>
      <c r="B434" s="56" t="s">
        <v>218</v>
      </c>
      <c r="C434" s="57" t="s">
        <v>4548</v>
      </c>
      <c r="D434" s="57" t="s">
        <v>135</v>
      </c>
      <c r="E434" s="56" t="s">
        <v>4549</v>
      </c>
      <c r="F434" s="57" t="s">
        <v>4550</v>
      </c>
      <c r="G434" s="56" t="s">
        <v>4551</v>
      </c>
      <c r="H434" s="57" t="s">
        <v>4552</v>
      </c>
      <c r="I434" s="57" t="s">
        <v>4553</v>
      </c>
      <c r="J434" s="57" t="s">
        <v>4554</v>
      </c>
      <c r="K434" s="57" t="s">
        <v>4555</v>
      </c>
      <c r="L434" s="57" t="s">
        <v>4556</v>
      </c>
      <c r="M434" s="58" t="str">
        <f>HYPERLINK("https://pinellassheriff.gov/22-055-update-additional-charges-added-detectives-arrest-tarpon-springs-woman-for-scheme-to-defraud","https://pinellassheriff.gov/22-055-update-additional-charges-added-detectives-arrest-tarpon-springs-woman-for-scheme-to-defraud")</f>
        <v>https://pinellassheriff.gov/22-055-update-additional-charges-added-detectives-arrest-tarpon-springs-woman-for-scheme-to-defraud</v>
      </c>
      <c r="N434" s="57" t="s">
        <v>4557</v>
      </c>
      <c r="O434" s="57" t="s">
        <v>4558</v>
      </c>
      <c r="P434" s="56" t="s">
        <v>119</v>
      </c>
      <c r="Q434" s="56" t="s">
        <v>29</v>
      </c>
    </row>
    <row r="435" spans="1:17" ht="179.75" customHeight="1" x14ac:dyDescent="0.35">
      <c r="A435" s="56" t="s">
        <v>4559</v>
      </c>
      <c r="B435" s="56" t="s">
        <v>218</v>
      </c>
      <c r="C435" s="57" t="s">
        <v>4560</v>
      </c>
      <c r="D435" s="57" t="s">
        <v>135</v>
      </c>
      <c r="E435" s="56" t="s">
        <v>4561</v>
      </c>
      <c r="F435" s="57" t="s">
        <v>4562</v>
      </c>
      <c r="G435" s="56" t="s">
        <v>4563</v>
      </c>
      <c r="H435" s="57" t="s">
        <v>4564</v>
      </c>
      <c r="I435" s="57" t="s">
        <v>4565</v>
      </c>
      <c r="J435" s="57" t="s">
        <v>4566</v>
      </c>
      <c r="K435" s="57" t="s">
        <v>4567</v>
      </c>
      <c r="L435" s="57" t="s">
        <v>4568</v>
      </c>
      <c r="M435" s="58" t="str">
        <f>HYPERLINK("https://www.yourobserver.com/news/2015/jul/09/former-key-condo-manager-ordered-begin-three-year-sentence/","https://www.yourobserver.com/news/2015/jul/09/former-key-condo-manager-ordered-begin-three-year-sentence/")</f>
        <v>https://www.yourobserver.com/news/2015/jul/09/former-key-condo-manager-ordered-begin-three-year-sentence/</v>
      </c>
      <c r="N435" s="57" t="s">
        <v>4569</v>
      </c>
      <c r="O435" s="57" t="s">
        <v>4570</v>
      </c>
      <c r="P435" s="56" t="s">
        <v>119</v>
      </c>
      <c r="Q435" s="56" t="s">
        <v>29</v>
      </c>
    </row>
    <row r="436" spans="1:17" ht="179.75" customHeight="1" x14ac:dyDescent="0.35">
      <c r="A436" s="56" t="s">
        <v>4571</v>
      </c>
      <c r="B436" s="56" t="s">
        <v>218</v>
      </c>
      <c r="C436" s="57" t="s">
        <v>4572</v>
      </c>
      <c r="D436" s="57" t="s">
        <v>1337</v>
      </c>
      <c r="E436" s="56" t="s">
        <v>4573</v>
      </c>
      <c r="F436" s="57" t="s">
        <v>4574</v>
      </c>
      <c r="G436" s="56" t="s">
        <v>4575</v>
      </c>
      <c r="H436" s="57" t="s">
        <v>4576</v>
      </c>
      <c r="I436" s="57" t="s">
        <v>4577</v>
      </c>
      <c r="J436" s="57" t="s">
        <v>4578</v>
      </c>
      <c r="K436" s="57" t="s">
        <v>4579</v>
      </c>
      <c r="L436" s="57" t="s">
        <v>4580</v>
      </c>
      <c r="M436" s="58" t="str">
        <f>HYPERLINK("https://breakingac.com/news/eht-man-pleads-guilty-in-352k-theft/","https://breakingac.com/news/eht-man-pleads-guilty-in-352k-theft/")</f>
        <v>https://breakingac.com/news/eht-man-pleads-guilty-in-352k-theft/</v>
      </c>
      <c r="N436" s="57" t="s">
        <v>4581</v>
      </c>
      <c r="O436" s="57" t="s">
        <v>4582</v>
      </c>
      <c r="P436" s="56" t="s">
        <v>119</v>
      </c>
      <c r="Q436" s="56" t="s">
        <v>29</v>
      </c>
    </row>
    <row r="437" spans="1:17" ht="179.75" customHeight="1" x14ac:dyDescent="0.35">
      <c r="A437" s="56" t="s">
        <v>4583</v>
      </c>
      <c r="B437" s="56" t="s">
        <v>218</v>
      </c>
      <c r="C437" s="57" t="s">
        <v>4584</v>
      </c>
      <c r="D437" s="57" t="s">
        <v>195</v>
      </c>
      <c r="E437" s="56" t="s">
        <v>4585</v>
      </c>
      <c r="F437" s="57" t="s">
        <v>4586</v>
      </c>
      <c r="G437" s="56" t="s">
        <v>4587</v>
      </c>
      <c r="H437" s="57" t="s">
        <v>4588</v>
      </c>
      <c r="I437" s="57" t="s">
        <v>4589</v>
      </c>
      <c r="J437" s="57" t="s">
        <v>4590</v>
      </c>
      <c r="K437" s="57" t="s">
        <v>4591</v>
      </c>
      <c r="L437" s="57" t="s">
        <v>4592</v>
      </c>
      <c r="M437" s="58" t="str">
        <f>HYPERLINK("https://www.justice.gov/usao-cdca/pr/former-accounting-director-corona-company-sentenced-nearly-5-years-federal-prison","https://www.justice.gov/usao-cdca/pr/former-accounting-director-corona-company-sentenced-nearly-5-years-federal-prison")</f>
        <v>https://www.justice.gov/usao-cdca/pr/former-accounting-director-corona-company-sentenced-nearly-5-years-federal-prison</v>
      </c>
      <c r="N437" s="57" t="s">
        <v>4593</v>
      </c>
      <c r="O437" s="57" t="s">
        <v>4594</v>
      </c>
      <c r="P437" s="56" t="s">
        <v>119</v>
      </c>
      <c r="Q437" s="56" t="s">
        <v>29</v>
      </c>
    </row>
    <row r="438" spans="1:17" ht="179.75" customHeight="1" x14ac:dyDescent="0.35">
      <c r="A438" s="56" t="s">
        <v>4595</v>
      </c>
      <c r="B438" s="56" t="s">
        <v>218</v>
      </c>
      <c r="C438" s="57" t="s">
        <v>4596</v>
      </c>
      <c r="D438" s="57" t="s">
        <v>4597</v>
      </c>
      <c r="E438" s="56" t="s">
        <v>4598</v>
      </c>
      <c r="F438" s="57" t="s">
        <v>4599</v>
      </c>
      <c r="G438" s="56" t="s">
        <v>4600</v>
      </c>
      <c r="H438" s="57" t="s">
        <v>4601</v>
      </c>
      <c r="I438" s="57" t="s">
        <v>4602</v>
      </c>
      <c r="J438" s="57" t="s">
        <v>4603</v>
      </c>
      <c r="K438" s="57" t="s">
        <v>4604</v>
      </c>
      <c r="L438" s="57" t="s">
        <v>4605</v>
      </c>
      <c r="M438" s="58" t="str">
        <f>HYPERLINK("https://www.justice.gov/usao-ri/pr/massachusetts-town-official-indicted-fraud-role-property-manager-woonsocket-condominium","https://www.justice.gov/usao-ri/pr/massachusetts-town-official-indicted-fraud-role-property-manager-woonsocket-condominium")</f>
        <v>https://www.justice.gov/usao-ri/pr/massachusetts-town-official-indicted-fraud-role-property-manager-woonsocket-condominium</v>
      </c>
      <c r="N438" s="57" t="s">
        <v>4606</v>
      </c>
      <c r="O438" s="57" t="s">
        <v>4607</v>
      </c>
      <c r="P438" s="56" t="s">
        <v>119</v>
      </c>
      <c r="Q438" s="56" t="s">
        <v>29</v>
      </c>
    </row>
    <row r="439" spans="1:17" ht="179.75" customHeight="1" x14ac:dyDescent="0.35">
      <c r="A439" s="56" t="s">
        <v>4608</v>
      </c>
      <c r="B439" s="56" t="s">
        <v>4609</v>
      </c>
      <c r="C439" s="57" t="s">
        <v>4610</v>
      </c>
      <c r="D439" s="57" t="s">
        <v>135</v>
      </c>
      <c r="E439" s="56" t="s">
        <v>4611</v>
      </c>
      <c r="F439" s="57" t="s">
        <v>4612</v>
      </c>
      <c r="G439" s="56" t="s">
        <v>4613</v>
      </c>
      <c r="H439" s="57" t="s">
        <v>4614</v>
      </c>
      <c r="I439" s="57" t="s">
        <v>4615</v>
      </c>
      <c r="J439" s="57" t="s">
        <v>4616</v>
      </c>
      <c r="K439" s="57" t="s">
        <v>4617</v>
      </c>
      <c r="L439" s="57" t="s">
        <v>4618</v>
      </c>
      <c r="M439" s="58" t="str">
        <f>HYPERLINK("https://www.siegfriedrivera.com/blog/arrest-over-alleged-800000-hoa-fraud-emblematic-of-law-enforcements-new-mindset/","https://www.siegfriedrivera.com/blog/arrest-over-alleged-800000-hoa-fraud-emblematic-of-law-enforcements-new-mindset/")</f>
        <v>https://www.siegfriedrivera.com/blog/arrest-over-alleged-800000-hoa-fraud-emblematic-of-law-enforcements-new-mindset/</v>
      </c>
      <c r="N439" s="57" t="s">
        <v>4619</v>
      </c>
      <c r="O439" s="57" t="s">
        <v>4620</v>
      </c>
      <c r="P439" s="56" t="s">
        <v>119</v>
      </c>
      <c r="Q439" s="56" t="s">
        <v>29</v>
      </c>
    </row>
    <row r="440" spans="1:17" ht="179.75" customHeight="1" x14ac:dyDescent="0.35">
      <c r="A440" s="56" t="s">
        <v>4621</v>
      </c>
      <c r="B440" s="56" t="s">
        <v>4609</v>
      </c>
      <c r="C440" s="57" t="s">
        <v>4622</v>
      </c>
      <c r="D440" s="57" t="s">
        <v>135</v>
      </c>
      <c r="E440" s="56" t="s">
        <v>4623</v>
      </c>
      <c r="F440" s="57" t="s">
        <v>4624</v>
      </c>
      <c r="G440" s="56" t="s">
        <v>4625</v>
      </c>
      <c r="H440" s="57" t="s">
        <v>4626</v>
      </c>
      <c r="I440" s="57" t="s">
        <v>4627</v>
      </c>
      <c r="J440" s="57" t="s">
        <v>4628</v>
      </c>
      <c r="K440" s="57" t="s">
        <v>4629</v>
      </c>
      <c r="L440" s="57" t="s">
        <v>4630</v>
      </c>
      <c r="M440" s="58" t="str">
        <f>HYPERLINK("https://www.firstcoastnews.com/article/news/local/jacksonville-hoa-manager-arrested-on-charges-of-grand-theft/77-a8c33b0e-7646-4050-b3fd-02cc07271a2f","https://www.firstcoastnews.com/article/news/local/jacksonville-hoa-manager-arrested-on-charges-of-grand-theft/77-a8c33b0e-7646-4050-b3fd-02cc07271a2f")</f>
        <v>https://www.firstcoastnews.com/article/news/local/jacksonville-hoa-manager-arrested-on-charges-of-grand-theft/77-a8c33b0e-7646-4050-b3fd-02cc07271a2f</v>
      </c>
      <c r="N440" s="57" t="s">
        <v>4631</v>
      </c>
      <c r="O440" s="57" t="s">
        <v>4632</v>
      </c>
      <c r="P440" s="56" t="s">
        <v>119</v>
      </c>
      <c r="Q440" s="56" t="s">
        <v>29</v>
      </c>
    </row>
    <row r="441" spans="1:17" ht="179.75" customHeight="1" x14ac:dyDescent="0.35">
      <c r="A441" s="56" t="s">
        <v>4633</v>
      </c>
      <c r="B441" s="56" t="s">
        <v>218</v>
      </c>
      <c r="C441" s="57" t="s">
        <v>4634</v>
      </c>
      <c r="D441" s="57" t="s">
        <v>4635</v>
      </c>
      <c r="E441" s="56" t="s">
        <v>4636</v>
      </c>
      <c r="F441" s="57" t="s">
        <v>4637</v>
      </c>
      <c r="G441" s="56" t="s">
        <v>4638</v>
      </c>
      <c r="H441" s="57" t="s">
        <v>4639</v>
      </c>
      <c r="I441" s="57" t="s">
        <v>4640</v>
      </c>
      <c r="J441" s="57" t="s">
        <v>4641</v>
      </c>
      <c r="K441" s="57" t="s">
        <v>4642</v>
      </c>
      <c r="L441" s="57" t="s">
        <v>4643</v>
      </c>
      <c r="M441" s="58" t="str">
        <f>HYPERLINK("https://www.nsw.gov.au/departments-and-agencies/fair-trading/news/nsw-fair-trading-commences-prosecution-against-netstrata","https://www.nsw.gov.au/departments-and-agencies/fair-trading/news/nsw-fair-trading-commences-prosecution-against-netstrata")</f>
        <v>https://www.nsw.gov.au/departments-and-agencies/fair-trading/news/nsw-fair-trading-commences-prosecution-against-netstrata</v>
      </c>
      <c r="N441" s="57" t="s">
        <v>4644</v>
      </c>
      <c r="O441" s="57" t="s">
        <v>4645</v>
      </c>
      <c r="P441" s="56" t="s">
        <v>4646</v>
      </c>
      <c r="Q441" s="56" t="s">
        <v>29</v>
      </c>
    </row>
    <row r="442" spans="1:17" ht="179.75" customHeight="1" x14ac:dyDescent="0.35">
      <c r="A442" s="56" t="s">
        <v>4647</v>
      </c>
      <c r="B442" s="56" t="s">
        <v>218</v>
      </c>
      <c r="C442" s="57" t="s">
        <v>4648</v>
      </c>
      <c r="D442" s="57" t="s">
        <v>4649</v>
      </c>
      <c r="E442" s="56" t="s">
        <v>4650</v>
      </c>
      <c r="F442" s="57" t="s">
        <v>4651</v>
      </c>
      <c r="G442" s="56" t="s">
        <v>4652</v>
      </c>
      <c r="H442" s="57" t="s">
        <v>4653</v>
      </c>
      <c r="I442" s="57" t="s">
        <v>4654</v>
      </c>
      <c r="J442" s="57" t="s">
        <v>4655</v>
      </c>
      <c r="K442" s="57" t="s">
        <v>4656</v>
      </c>
      <c r="L442" s="57" t="s">
        <v>4657</v>
      </c>
      <c r="M442" s="58" t="str">
        <f>HYPERLINK("https://insurancebrokerscode.com.au/resources/strengthening-transparency-and-trust-in-broker-agent-arrangements/","https://insurancebrokerscode.com.au/resources/strengthening-transparency-and-trust-in-broker-agent-arrangements/")</f>
        <v>https://insurancebrokerscode.com.au/resources/strengthening-transparency-and-trust-in-broker-agent-arrangements/</v>
      </c>
      <c r="N442" s="57" t="s">
        <v>4658</v>
      </c>
      <c r="O442" s="57" t="s">
        <v>4659</v>
      </c>
      <c r="P442" s="56" t="s">
        <v>4660</v>
      </c>
      <c r="Q442" s="56" t="s">
        <v>29</v>
      </c>
    </row>
    <row r="443" spans="1:17" ht="179.75" customHeight="1" x14ac:dyDescent="0.35">
      <c r="A443" s="56" t="s">
        <v>4661</v>
      </c>
      <c r="B443" s="56" t="s">
        <v>218</v>
      </c>
      <c r="C443" s="57" t="s">
        <v>4662</v>
      </c>
      <c r="D443" s="57" t="s">
        <v>1276</v>
      </c>
      <c r="E443" s="56" t="s">
        <v>4663</v>
      </c>
      <c r="F443" s="57" t="s">
        <v>4664</v>
      </c>
      <c r="G443" s="56" t="s">
        <v>4665</v>
      </c>
      <c r="H443" s="57" t="s">
        <v>4666</v>
      </c>
      <c r="I443" s="57" t="s">
        <v>4667</v>
      </c>
      <c r="J443" s="57" t="s">
        <v>4668</v>
      </c>
      <c r="K443" s="57" t="s">
        <v>4669</v>
      </c>
      <c r="L443" s="57" t="s">
        <v>4670</v>
      </c>
      <c r="M443" s="58" t="str">
        <f>HYPERLINK("https://www.justice.gov/usao-sdms/pr/property-manager-pleads-guilty-homeowner-association-fraud-case","https://www.justice.gov/usao-sdms/pr/property-manager-pleads-guilty-homeowner-association-fraud-case")</f>
        <v>https://www.justice.gov/usao-sdms/pr/property-manager-pleads-guilty-homeowner-association-fraud-case</v>
      </c>
      <c r="N443" s="57" t="s">
        <v>4671</v>
      </c>
      <c r="O443" s="57" t="s">
        <v>4672</v>
      </c>
      <c r="P443" s="56" t="s">
        <v>119</v>
      </c>
      <c r="Q443" s="56" t="s">
        <v>29</v>
      </c>
    </row>
    <row r="444" spans="1:17" ht="179.75" customHeight="1" x14ac:dyDescent="0.35">
      <c r="A444" s="56" t="s">
        <v>4673</v>
      </c>
      <c r="B444" s="56" t="s">
        <v>218</v>
      </c>
      <c r="C444" s="57" t="s">
        <v>4674</v>
      </c>
      <c r="D444" s="57" t="s">
        <v>349</v>
      </c>
      <c r="E444" s="56" t="s">
        <v>4675</v>
      </c>
      <c r="F444" s="57" t="s">
        <v>4676</v>
      </c>
      <c r="G444" s="56" t="s">
        <v>4677</v>
      </c>
      <c r="H444" s="57" t="s">
        <v>4678</v>
      </c>
      <c r="I444" s="57" t="s">
        <v>4679</v>
      </c>
      <c r="J444" s="57" t="s">
        <v>4680</v>
      </c>
      <c r="K444" s="57" t="s">
        <v>380</v>
      </c>
      <c r="L444" s="57" t="s">
        <v>4681</v>
      </c>
      <c r="M444" s="58" t="str">
        <f>HYPERLINK("https://www.justice.gov/usao-mn/pr/greenbrier-village-settles-law-suit-alleging-unlawful-discrimination-against-families","https://www.justice.gov/usao-mn/pr/greenbrier-village-settles-law-suit-alleging-unlawful-discrimination-against-families")</f>
        <v>https://www.justice.gov/usao-mn/pr/greenbrier-village-settles-law-suit-alleging-unlawful-discrimination-against-families</v>
      </c>
      <c r="N444" s="57" t="s">
        <v>4682</v>
      </c>
      <c r="O444" s="57" t="s">
        <v>4683</v>
      </c>
      <c r="P444" s="56" t="s">
        <v>384</v>
      </c>
      <c r="Q444" s="56" t="s">
        <v>29</v>
      </c>
    </row>
    <row r="445" spans="1:17" ht="179.75" customHeight="1" x14ac:dyDescent="0.35">
      <c r="A445" s="56" t="s">
        <v>4684</v>
      </c>
      <c r="B445" s="56" t="s">
        <v>4685</v>
      </c>
      <c r="C445" s="57" t="s">
        <v>4686</v>
      </c>
      <c r="D445" s="57" t="s">
        <v>122</v>
      </c>
      <c r="E445" s="56" t="s">
        <v>4687</v>
      </c>
      <c r="F445" s="57" t="s">
        <v>4688</v>
      </c>
      <c r="G445" s="56" t="s">
        <v>4689</v>
      </c>
      <c r="H445" s="57" t="s">
        <v>4690</v>
      </c>
      <c r="I445" s="57" t="s">
        <v>4691</v>
      </c>
      <c r="J445" s="57" t="s">
        <v>4692</v>
      </c>
      <c r="K445" s="57" t="s">
        <v>4693</v>
      </c>
      <c r="L445" s="57" t="s">
        <v>4694</v>
      </c>
      <c r="M445" s="58" t="str">
        <f>HYPERLINK("https://www.justice.gov/usao-sdtx/pr/shadow-creek-ranch-manager-pleads-guilty-scamming-hoa-company","https://www.justice.gov/usao-sdtx/pr/shadow-creek-ranch-manager-pleads-guilty-scamming-hoa-company")</f>
        <v>https://www.justice.gov/usao-sdtx/pr/shadow-creek-ranch-manager-pleads-guilty-scamming-hoa-company</v>
      </c>
      <c r="N445" s="57" t="s">
        <v>4695</v>
      </c>
      <c r="O445" s="57" t="s">
        <v>4696</v>
      </c>
      <c r="P445" s="56" t="s">
        <v>1361</v>
      </c>
      <c r="Q445" s="56" t="s">
        <v>29</v>
      </c>
    </row>
    <row r="446" spans="1:17" ht="179.75" customHeight="1" x14ac:dyDescent="0.35">
      <c r="A446" s="56" t="s">
        <v>4697</v>
      </c>
      <c r="B446" s="56" t="s">
        <v>4685</v>
      </c>
      <c r="C446" s="57" t="s">
        <v>4698</v>
      </c>
      <c r="D446" s="57" t="s">
        <v>4699</v>
      </c>
      <c r="E446" s="56" t="s">
        <v>4700</v>
      </c>
      <c r="F446" s="57" t="s">
        <v>4701</v>
      </c>
      <c r="G446" s="56" t="s">
        <v>4702</v>
      </c>
      <c r="H446" s="57" t="s">
        <v>4703</v>
      </c>
      <c r="I446" s="57" t="s">
        <v>4704</v>
      </c>
      <c r="J446" s="57" t="s">
        <v>4705</v>
      </c>
      <c r="K446" s="57" t="s">
        <v>4706</v>
      </c>
      <c r="L446" s="57" t="s">
        <v>4707</v>
      </c>
      <c r="M446" s="58" t="str">
        <f>HYPERLINK("https://www.justice.gov/usao-mn/pr/former-cfo-sentenced-prison-ordered-pay-restitution-embezzling-more-3-million-employer","https://www.justice.gov/usao-mn/pr/former-cfo-sentenced-prison-ordered-pay-restitution-embezzling-more-3-million-employer")</f>
        <v>https://www.justice.gov/usao-mn/pr/former-cfo-sentenced-prison-ordered-pay-restitution-embezzling-more-3-million-employer</v>
      </c>
      <c r="N446" s="57" t="s">
        <v>4708</v>
      </c>
      <c r="O446" s="57" t="s">
        <v>4709</v>
      </c>
      <c r="P446" s="56" t="s">
        <v>1361</v>
      </c>
      <c r="Q446" s="56" t="s">
        <v>29</v>
      </c>
    </row>
    <row r="447" spans="1:17" ht="179.75" customHeight="1" x14ac:dyDescent="0.35">
      <c r="A447" s="56" t="s">
        <v>4710</v>
      </c>
      <c r="B447" s="56" t="s">
        <v>4685</v>
      </c>
      <c r="C447" s="57" t="s">
        <v>4711</v>
      </c>
      <c r="D447" s="57" t="s">
        <v>1170</v>
      </c>
      <c r="E447" s="56" t="s">
        <v>4712</v>
      </c>
      <c r="F447" s="57" t="s">
        <v>4713</v>
      </c>
      <c r="G447" s="56" t="s">
        <v>4714</v>
      </c>
      <c r="H447" s="57" t="s">
        <v>4715</v>
      </c>
      <c r="I447" s="57" t="s">
        <v>4716</v>
      </c>
      <c r="J447" s="57" t="s">
        <v>4705</v>
      </c>
      <c r="K447" s="57" t="s">
        <v>4717</v>
      </c>
      <c r="L447" s="57" t="s">
        <v>4718</v>
      </c>
      <c r="M447" s="58" t="str">
        <f>HYPERLINK("https://www.justice.gov/usao-ndal/pr/shelby-county-woman-sentenced-more-three-years-prison-stealing-hoas-and-employer","https://www.justice.gov/usao-ndal/pr/shelby-county-woman-sentenced-more-three-years-prison-stealing-hoas-and-employer")</f>
        <v>https://www.justice.gov/usao-ndal/pr/shelby-county-woman-sentenced-more-three-years-prison-stealing-hoas-and-employer</v>
      </c>
      <c r="N447" s="57" t="s">
        <v>4719</v>
      </c>
      <c r="O447" s="57" t="s">
        <v>4720</v>
      </c>
      <c r="P447" s="56" t="s">
        <v>1361</v>
      </c>
      <c r="Q447" s="56" t="s">
        <v>29</v>
      </c>
    </row>
    <row r="448" spans="1:17" ht="179.75" customHeight="1" x14ac:dyDescent="0.35">
      <c r="A448" s="56" t="s">
        <v>4721</v>
      </c>
      <c r="B448" s="56" t="s">
        <v>4685</v>
      </c>
      <c r="C448" s="57" t="s">
        <v>4722</v>
      </c>
      <c r="D448" s="57" t="s">
        <v>479</v>
      </c>
      <c r="E448" s="56" t="s">
        <v>4723</v>
      </c>
      <c r="F448" s="57" t="s">
        <v>4724</v>
      </c>
      <c r="G448" s="56" t="s">
        <v>4725</v>
      </c>
      <c r="H448" s="57" t="s">
        <v>4726</v>
      </c>
      <c r="I448" s="57" t="s">
        <v>4727</v>
      </c>
      <c r="J448" s="57" t="s">
        <v>4728</v>
      </c>
      <c r="K448" s="57" t="s">
        <v>4729</v>
      </c>
      <c r="L448" s="57" t="s">
        <v>4730</v>
      </c>
      <c r="M448" s="58" t="str">
        <f>HYPERLINK("https://www.justice.gov/usao-edva/pr/warrenton-woman-sentenced-two-years-prison-embezzling-over-1m-homeowner-associations","https://www.justice.gov/usao-edva/pr/warrenton-woman-sentenced-two-years-prison-embezzling-over-1m-homeowner-associations")</f>
        <v>https://www.justice.gov/usao-edva/pr/warrenton-woman-sentenced-two-years-prison-embezzling-over-1m-homeowner-associations</v>
      </c>
      <c r="N448" s="57" t="s">
        <v>4731</v>
      </c>
      <c r="O448" s="57" t="s">
        <v>4732</v>
      </c>
      <c r="P448" s="56" t="s">
        <v>1361</v>
      </c>
      <c r="Q448" s="56" t="s">
        <v>29</v>
      </c>
    </row>
    <row r="449" spans="1:17" ht="179.75" customHeight="1" x14ac:dyDescent="0.35">
      <c r="A449" s="56" t="s">
        <v>4733</v>
      </c>
      <c r="B449" s="56" t="s">
        <v>107</v>
      </c>
      <c r="C449" s="57" t="s">
        <v>4734</v>
      </c>
      <c r="D449" s="57" t="s">
        <v>282</v>
      </c>
      <c r="E449" s="56" t="s">
        <v>4735</v>
      </c>
      <c r="F449" s="57" t="s">
        <v>4736</v>
      </c>
      <c r="G449" s="56" t="s">
        <v>4737</v>
      </c>
      <c r="H449" s="57" t="s">
        <v>4738</v>
      </c>
      <c r="I449" s="57" t="s">
        <v>4739</v>
      </c>
      <c r="J449" s="57" t="s">
        <v>4740</v>
      </c>
      <c r="K449" s="57" t="s">
        <v>4741</v>
      </c>
      <c r="L449" s="57" t="s">
        <v>4742</v>
      </c>
      <c r="M449" s="58" t="str">
        <f>HYPERLINK("https://oag.maryland.gov/News/Pages/Attorney-General-Brown-Announces-Final-Order-Against-Property-Manager-for-Common-Ownership-Communities-.aspx","https://oag.maryland.gov/News/Pages/Attorney-General-Brown-Announces-Final-Order-Against-Property-Manager-for-Common-Ownership-Communities-.aspx")</f>
        <v>https://oag.maryland.gov/News/Pages/Attorney-General-Brown-Announces-Final-Order-Against-Property-Manager-for-Common-Ownership-Communities-.aspx</v>
      </c>
      <c r="N449" s="57" t="s">
        <v>4743</v>
      </c>
      <c r="O449" s="57" t="s">
        <v>4744</v>
      </c>
      <c r="P449" s="56" t="s">
        <v>4745</v>
      </c>
      <c r="Q449" s="56" t="s">
        <v>29</v>
      </c>
    </row>
    <row r="450" spans="1:17" ht="179.75" customHeight="1" x14ac:dyDescent="0.35">
      <c r="A450" s="56" t="s">
        <v>4746</v>
      </c>
      <c r="B450" s="56" t="s">
        <v>218</v>
      </c>
      <c r="C450" s="57" t="s">
        <v>4747</v>
      </c>
      <c r="D450" s="57" t="s">
        <v>1170</v>
      </c>
      <c r="E450" s="56" t="s">
        <v>4748</v>
      </c>
      <c r="F450" s="57" t="s">
        <v>4749</v>
      </c>
      <c r="G450" s="56" t="s">
        <v>4750</v>
      </c>
      <c r="H450" s="57" t="s">
        <v>4751</v>
      </c>
      <c r="I450" s="57" t="s">
        <v>4752</v>
      </c>
      <c r="J450" s="57" t="s">
        <v>4753</v>
      </c>
      <c r="K450" s="57" t="s">
        <v>4754</v>
      </c>
      <c r="L450" s="57" t="s">
        <v>4755</v>
      </c>
      <c r="M450" s="58" t="str">
        <f>HYPERLINK("https://www.justice.gov/usao-ndal/pr/property-manager-pleads-guilty-stealing-condominium-associations","https://www.justice.gov/usao-ndal/pr/property-manager-pleads-guilty-stealing-condominium-associations")</f>
        <v>https://www.justice.gov/usao-ndal/pr/property-manager-pleads-guilty-stealing-condominium-associations</v>
      </c>
      <c r="N450" s="57" t="s">
        <v>4509</v>
      </c>
      <c r="O450" s="57" t="s">
        <v>4756</v>
      </c>
      <c r="P450" s="56" t="s">
        <v>119</v>
      </c>
      <c r="Q450" s="56" t="s">
        <v>29</v>
      </c>
    </row>
    <row r="451" spans="1:17" ht="179.75" customHeight="1" x14ac:dyDescent="0.35">
      <c r="A451" s="56" t="s">
        <v>4757</v>
      </c>
      <c r="B451" s="56" t="s">
        <v>218</v>
      </c>
      <c r="C451" s="57" t="s">
        <v>4758</v>
      </c>
      <c r="D451" s="57" t="s">
        <v>109</v>
      </c>
      <c r="E451" s="56" t="s">
        <v>4759</v>
      </c>
      <c r="F451" s="57" t="s">
        <v>4760</v>
      </c>
      <c r="G451" s="56" t="s">
        <v>4761</v>
      </c>
      <c r="H451" s="57" t="s">
        <v>4762</v>
      </c>
      <c r="I451" s="57" t="s">
        <v>4763</v>
      </c>
      <c r="J451" s="57" t="s">
        <v>4764</v>
      </c>
      <c r="K451" s="57" t="s">
        <v>4765</v>
      </c>
      <c r="L451" s="57" t="s">
        <v>4766</v>
      </c>
      <c r="M451" s="58" t="str">
        <f>HYPERLINK("https://www.justice.gov/usao-az/pr/former-property-manager-sent-prison-defrauding-homeowner-associations","https://www.justice.gov/usao-az/pr/former-property-manager-sent-prison-defrauding-homeowner-associations")</f>
        <v>https://www.justice.gov/usao-az/pr/former-property-manager-sent-prison-defrauding-homeowner-associations</v>
      </c>
      <c r="N451" s="57" t="s">
        <v>4509</v>
      </c>
      <c r="O451" s="57" t="s">
        <v>4767</v>
      </c>
      <c r="P451" s="56" t="s">
        <v>119</v>
      </c>
      <c r="Q451" s="56" t="s">
        <v>29</v>
      </c>
    </row>
    <row r="452" spans="1:17" ht="179.75" customHeight="1" x14ac:dyDescent="0.35">
      <c r="A452" s="59" t="s">
        <v>4768</v>
      </c>
      <c r="B452" s="59" t="s">
        <v>218</v>
      </c>
      <c r="C452" s="60" t="s">
        <v>4769</v>
      </c>
      <c r="D452" s="60" t="s">
        <v>705</v>
      </c>
      <c r="E452" s="59" t="s">
        <v>4770</v>
      </c>
      <c r="F452" s="60" t="s">
        <v>4771</v>
      </c>
      <c r="G452" s="59" t="s">
        <v>4772</v>
      </c>
      <c r="H452" s="60" t="s">
        <v>4773</v>
      </c>
      <c r="I452" s="60" t="s">
        <v>4774</v>
      </c>
      <c r="J452" s="60" t="s">
        <v>4775</v>
      </c>
      <c r="K452" s="60" t="s">
        <v>4776</v>
      </c>
      <c r="L452" s="60" t="s">
        <v>4777</v>
      </c>
      <c r="M452" s="61" t="str">
        <f>HYPERLINK("https://spl.cde.state.co.us/artemis/regserials/reg510internet/reg5102016internet.pdf","https://spl.cde.state.co.us/artemis/regserials/reg510internet/reg5102016internet.pdf")</f>
        <v>https://spl.cde.state.co.us/artemis/regserials/reg510internet/reg5102016internet.pdf</v>
      </c>
      <c r="N452" s="60" t="s">
        <v>4778</v>
      </c>
      <c r="O452" s="60" t="s">
        <v>4779</v>
      </c>
      <c r="P452" s="59" t="s">
        <v>119</v>
      </c>
      <c r="Q452" s="59" t="s">
        <v>32</v>
      </c>
    </row>
    <row r="453" spans="1:17" ht="179.75" customHeight="1" x14ac:dyDescent="0.35">
      <c r="A453" s="59" t="s">
        <v>4780</v>
      </c>
      <c r="B453" s="59" t="s">
        <v>107</v>
      </c>
      <c r="C453" s="60" t="s">
        <v>4781</v>
      </c>
      <c r="D453" s="60" t="s">
        <v>705</v>
      </c>
      <c r="E453" s="59" t="s">
        <v>4782</v>
      </c>
      <c r="F453" s="60" t="s">
        <v>4783</v>
      </c>
      <c r="G453" s="59" t="s">
        <v>4784</v>
      </c>
      <c r="H453" s="60" t="s">
        <v>4785</v>
      </c>
      <c r="I453" s="60" t="s">
        <v>4786</v>
      </c>
      <c r="J453" s="60" t="s">
        <v>4787</v>
      </c>
      <c r="K453" s="60" t="s">
        <v>4788</v>
      </c>
      <c r="L453" s="60" t="s">
        <v>4789</v>
      </c>
      <c r="M453" s="61" t="str">
        <f>HYPERLINK("https://engagedora.org/hoa-task-force/stories/h-o-a-property-management-companies-participating-in-unearned-fee-kickback-at-closing-of-federal-related-mortgage-transactions","https://engagedora.org/hoa-task-force/stories/h-o-a-property-management-companies-participating-in-unearned-fee-kickback-at-closing-of-federal-related-mortgage-transactions")</f>
        <v>https://engagedora.org/hoa-task-force/stories/h-o-a-property-management-companies-participating-in-unearned-fee-kickback-at-closing-of-federal-related-mortgage-transactions</v>
      </c>
      <c r="N453" s="60" t="s">
        <v>131</v>
      </c>
      <c r="O453" s="60" t="s">
        <v>4790</v>
      </c>
      <c r="P453" s="59" t="s">
        <v>119</v>
      </c>
      <c r="Q453" s="59" t="s">
        <v>32</v>
      </c>
    </row>
    <row r="454" spans="1:17" ht="179.75" customHeight="1" x14ac:dyDescent="0.35">
      <c r="A454" s="59" t="s">
        <v>4791</v>
      </c>
      <c r="B454" s="59" t="s">
        <v>218</v>
      </c>
      <c r="C454" s="60" t="s">
        <v>4792</v>
      </c>
      <c r="D454" s="60" t="s">
        <v>309</v>
      </c>
      <c r="E454" s="59" t="s">
        <v>4793</v>
      </c>
      <c r="F454" s="60" t="s">
        <v>4794</v>
      </c>
      <c r="G454" s="59" t="s">
        <v>4795</v>
      </c>
      <c r="H454" s="60" t="s">
        <v>4796</v>
      </c>
      <c r="I454" s="60" t="s">
        <v>4797</v>
      </c>
      <c r="J454" s="60" t="s">
        <v>4798</v>
      </c>
      <c r="K454" s="60" t="s">
        <v>4799</v>
      </c>
      <c r="L454" s="60" t="s">
        <v>4800</v>
      </c>
      <c r="M454" s="61" t="str">
        <f>HYPERLINK("https://www.business.nv.gov/news-media/press-releases/2017/real-estate/common-interest-community-commission-assesses-fines-costs-and-restitution-of-more-than-2-million-against-former-community-association-manager-leslie-white/","https://www.business.nv.gov/news-media/press-releases/2017/real-estate/common-interest-community-commission-assesses-fines-costs-and-restitution-of-more-than-2-million-against-former-community-association-manager-leslie-white/")</f>
        <v>https://www.business.nv.gov/news-media/press-releases/2017/real-estate/common-interest-community-commission-assesses-fines-costs-and-restitution-of-more-than-2-million-against-former-community-association-manager-leslie-white/</v>
      </c>
      <c r="N454" s="60" t="s">
        <v>4801</v>
      </c>
      <c r="O454" s="60" t="s">
        <v>4802</v>
      </c>
      <c r="P454" s="59" t="s">
        <v>119</v>
      </c>
      <c r="Q454" s="59" t="s">
        <v>32</v>
      </c>
    </row>
    <row r="455" spans="1:17" ht="179.75" customHeight="1" x14ac:dyDescent="0.35">
      <c r="A455" s="59" t="s">
        <v>4803</v>
      </c>
      <c r="B455" s="59" t="s">
        <v>218</v>
      </c>
      <c r="C455" s="60" t="s">
        <v>4804</v>
      </c>
      <c r="D455" s="60" t="s">
        <v>4805</v>
      </c>
      <c r="E455" s="59" t="s">
        <v>4806</v>
      </c>
      <c r="F455" s="60" t="s">
        <v>4807</v>
      </c>
      <c r="G455" s="59" t="s">
        <v>4808</v>
      </c>
      <c r="H455" s="60" t="s">
        <v>4809</v>
      </c>
      <c r="I455" s="60" t="s">
        <v>4810</v>
      </c>
      <c r="J455" s="60" t="s">
        <v>4811</v>
      </c>
      <c r="K455" s="60" t="s">
        <v>4812</v>
      </c>
      <c r="L455" s="60" t="s">
        <v>4813</v>
      </c>
      <c r="M455" s="61" t="str">
        <f>HYPERLINK("https://www.canlii.org/en/bc/bcsc/doc/2024/2024bcsc1218/2024bcsc1218.html","https://www.canlii.org/en/bc/bcsc/doc/2024/2024bcsc1218/2024bcsc1218.html")</f>
        <v>https://www.canlii.org/en/bc/bcsc/doc/2024/2024bcsc1218/2024bcsc1218.html</v>
      </c>
      <c r="N455" s="60" t="s">
        <v>4814</v>
      </c>
      <c r="O455" s="60" t="s">
        <v>4815</v>
      </c>
      <c r="P455" s="59" t="s">
        <v>4816</v>
      </c>
      <c r="Q455" s="59" t="s">
        <v>32</v>
      </c>
    </row>
    <row r="456" spans="1:17" ht="179.75" customHeight="1" x14ac:dyDescent="0.35">
      <c r="A456" s="59" t="s">
        <v>4817</v>
      </c>
      <c r="B456" s="59" t="s">
        <v>4818</v>
      </c>
      <c r="C456" s="60" t="s">
        <v>4819</v>
      </c>
      <c r="D456" s="60" t="s">
        <v>296</v>
      </c>
      <c r="E456" s="59" t="s">
        <v>4820</v>
      </c>
      <c r="F456" s="60" t="s">
        <v>4821</v>
      </c>
      <c r="G456" s="59" t="s">
        <v>4822</v>
      </c>
      <c r="H456" s="60" t="s">
        <v>4823</v>
      </c>
      <c r="I456" s="60" t="s">
        <v>4824</v>
      </c>
      <c r="J456" s="60" t="s">
        <v>4825</v>
      </c>
      <c r="K456" s="60" t="s">
        <v>4826</v>
      </c>
      <c r="L456" s="60" t="s">
        <v>4827</v>
      </c>
      <c r="M456" s="61" t="str">
        <f>HYPERLINK("https://law.justia.com/cases/federal/district-courts/illinois/ilndce/1%3A2024cv13264/470279/23/","https://law.justia.com/cases/federal/district-courts/illinois/ilndce/1%3A2024cv13264/470279/23/")</f>
        <v>https://law.justia.com/cases/federal/district-courts/illinois/ilndce/1%3A2024cv13264/470279/23/</v>
      </c>
      <c r="N456" s="60" t="s">
        <v>4828</v>
      </c>
      <c r="O456" s="60" t="s">
        <v>4829</v>
      </c>
      <c r="P456" s="59" t="s">
        <v>1361</v>
      </c>
      <c r="Q456" s="59" t="s">
        <v>32</v>
      </c>
    </row>
    <row r="457" spans="1:17" ht="179.75" customHeight="1" x14ac:dyDescent="0.35">
      <c r="A457" s="59" t="s">
        <v>4830</v>
      </c>
      <c r="B457" s="59" t="s">
        <v>4831</v>
      </c>
      <c r="C457" s="60" t="s">
        <v>4832</v>
      </c>
      <c r="D457" s="60" t="s">
        <v>442</v>
      </c>
      <c r="E457" s="59" t="s">
        <v>4833</v>
      </c>
      <c r="F457" s="60" t="s">
        <v>4834</v>
      </c>
      <c r="G457" s="59" t="s">
        <v>4835</v>
      </c>
      <c r="H457" s="60" t="s">
        <v>4836</v>
      </c>
      <c r="I457" s="60" t="s">
        <v>4837</v>
      </c>
      <c r="J457" s="60" t="s">
        <v>4838</v>
      </c>
      <c r="K457" s="60" t="s">
        <v>4839</v>
      </c>
      <c r="L457" s="60" t="s">
        <v>4840</v>
      </c>
      <c r="M457" s="61" t="str">
        <f>HYPERLINK("https://law.justia.com/cases/south-carolina/supreme-court/2017/27707.html","https://law.justia.com/cases/south-carolina/supreme-court/2017/27707.html")</f>
        <v>https://law.justia.com/cases/south-carolina/supreme-court/2017/27707.html</v>
      </c>
      <c r="N457" s="60" t="s">
        <v>4841</v>
      </c>
      <c r="O457" s="60" t="s">
        <v>4842</v>
      </c>
      <c r="P457" s="59" t="s">
        <v>4843</v>
      </c>
      <c r="Q457" s="59" t="s">
        <v>32</v>
      </c>
    </row>
    <row r="458" spans="1:17" ht="179.75" customHeight="1" x14ac:dyDescent="0.35">
      <c r="A458" s="59" t="s">
        <v>4844</v>
      </c>
      <c r="B458" s="59" t="s">
        <v>4845</v>
      </c>
      <c r="C458" s="60" t="s">
        <v>4846</v>
      </c>
      <c r="D458" s="60" t="s">
        <v>692</v>
      </c>
      <c r="E458" s="59" t="s">
        <v>4847</v>
      </c>
      <c r="F458" s="60" t="s">
        <v>4848</v>
      </c>
      <c r="G458" s="59" t="s">
        <v>4849</v>
      </c>
      <c r="H458" s="60" t="s">
        <v>4850</v>
      </c>
      <c r="I458" s="60" t="s">
        <v>4851</v>
      </c>
      <c r="J458" s="60" t="s">
        <v>4852</v>
      </c>
      <c r="K458" s="60" t="s">
        <v>4853</v>
      </c>
      <c r="L458" s="60" t="s">
        <v>4854</v>
      </c>
      <c r="M458" s="61" t="str">
        <f>HYPERLINK("https://www.ag.idaho.gov/newsroom/ag-labrador-cracks-down-on-hoas-charging-illegal-fees-to-idaho-homeowners/","https://www.ag.idaho.gov/newsroom/ag-labrador-cracks-down-on-hoas-charging-illegal-fees-to-idaho-homeowners/")</f>
        <v>https://www.ag.idaho.gov/newsroom/ag-labrador-cracks-down-on-hoas-charging-illegal-fees-to-idaho-homeowners/</v>
      </c>
      <c r="N458" s="60" t="s">
        <v>4855</v>
      </c>
      <c r="O458" s="60" t="s">
        <v>4856</v>
      </c>
      <c r="P458" s="59" t="s">
        <v>4857</v>
      </c>
      <c r="Q458" s="59" t="s">
        <v>32</v>
      </c>
    </row>
    <row r="459" spans="1:17" ht="179.75" customHeight="1" x14ac:dyDescent="0.35">
      <c r="A459" s="59" t="s">
        <v>4858</v>
      </c>
      <c r="B459" s="59" t="s">
        <v>107</v>
      </c>
      <c r="C459" s="60" t="s">
        <v>2481</v>
      </c>
      <c r="D459" s="60" t="s">
        <v>1560</v>
      </c>
      <c r="E459" s="59" t="s">
        <v>4859</v>
      </c>
      <c r="F459" s="60" t="s">
        <v>4860</v>
      </c>
      <c r="G459" s="59" t="s">
        <v>4861</v>
      </c>
      <c r="H459" s="60" t="s">
        <v>4862</v>
      </c>
      <c r="I459" s="60" t="s">
        <v>4863</v>
      </c>
      <c r="J459" s="60" t="s">
        <v>4864</v>
      </c>
      <c r="K459" s="60" t="s">
        <v>2487</v>
      </c>
      <c r="L459" s="60" t="s">
        <v>4865</v>
      </c>
      <c r="M459" s="61" t="str">
        <f>HYPERLINK("https://law.justia.com/cases/washington/court-of-appeals-division-iii/2025/40049-2.html","https://law.justia.com/cases/washington/court-of-appeals-division-iii/2025/40049-2.html")</f>
        <v>https://law.justia.com/cases/washington/court-of-appeals-division-iii/2025/40049-2.html</v>
      </c>
      <c r="N459" s="60" t="s">
        <v>2489</v>
      </c>
      <c r="O459" s="60" t="s">
        <v>2490</v>
      </c>
      <c r="P459" s="59" t="s">
        <v>4866</v>
      </c>
      <c r="Q459" s="59" t="s">
        <v>32</v>
      </c>
    </row>
    <row r="460" spans="1:17" ht="179.75" customHeight="1" x14ac:dyDescent="0.35">
      <c r="A460" s="59" t="s">
        <v>4867</v>
      </c>
      <c r="B460" s="59" t="s">
        <v>400</v>
      </c>
      <c r="C460" s="60" t="s">
        <v>4868</v>
      </c>
      <c r="D460" s="60" t="s">
        <v>282</v>
      </c>
      <c r="E460" s="59" t="s">
        <v>4869</v>
      </c>
      <c r="F460" s="60" t="s">
        <v>4870</v>
      </c>
      <c r="G460" s="59" t="s">
        <v>4871</v>
      </c>
      <c r="H460" s="60" t="s">
        <v>4872</v>
      </c>
      <c r="I460" s="60" t="s">
        <v>4873</v>
      </c>
      <c r="J460" s="60" t="s">
        <v>4874</v>
      </c>
      <c r="K460" s="60" t="s">
        <v>2487</v>
      </c>
      <c r="L460" s="60" t="s">
        <v>4875</v>
      </c>
      <c r="M460" s="61" t="str">
        <f>HYPERLINK("https://law.justia.com/cases/maryland/court-of-appeals/2023/22ag-21.html","https://law.justia.com/cases/maryland/court-of-appeals/2023/22ag-21.html")</f>
        <v>https://law.justia.com/cases/maryland/court-of-appeals/2023/22ag-21.html</v>
      </c>
      <c r="N460" s="60" t="s">
        <v>2489</v>
      </c>
      <c r="O460" s="60" t="s">
        <v>2490</v>
      </c>
      <c r="P460" s="59" t="s">
        <v>4876</v>
      </c>
      <c r="Q460" s="59" t="s">
        <v>32</v>
      </c>
    </row>
    <row r="461" spans="1:17" ht="179.75" customHeight="1" x14ac:dyDescent="0.35">
      <c r="A461" s="59" t="s">
        <v>4877</v>
      </c>
      <c r="B461" s="59" t="s">
        <v>107</v>
      </c>
      <c r="C461" s="60" t="s">
        <v>2481</v>
      </c>
      <c r="D461" s="60" t="s">
        <v>504</v>
      </c>
      <c r="E461" s="59" t="s">
        <v>4878</v>
      </c>
      <c r="F461" s="60" t="s">
        <v>110</v>
      </c>
      <c r="G461" s="59" t="s">
        <v>2826</v>
      </c>
      <c r="H461" s="60" t="s">
        <v>4879</v>
      </c>
      <c r="I461" s="60" t="s">
        <v>2528</v>
      </c>
      <c r="J461" s="60" t="s">
        <v>4880</v>
      </c>
      <c r="K461" s="60" t="s">
        <v>2487</v>
      </c>
      <c r="L461" s="60" t="s">
        <v>4881</v>
      </c>
      <c r="M461" s="61" t="str">
        <f>HYPERLINK("https://law.justia.com/cases/tennessee/court-of-appeals/2019/e2018-01084-coa-r3-cv.html","https://law.justia.com/cases/tennessee/court-of-appeals/2019/e2018-01084-coa-r3-cv.html")</f>
        <v>https://law.justia.com/cases/tennessee/court-of-appeals/2019/e2018-01084-coa-r3-cv.html</v>
      </c>
      <c r="N461" s="60" t="s">
        <v>2489</v>
      </c>
      <c r="O461" s="60" t="s">
        <v>2490</v>
      </c>
      <c r="P461" s="59" t="s">
        <v>2830</v>
      </c>
      <c r="Q461" s="59" t="s">
        <v>32</v>
      </c>
    </row>
    <row r="462" spans="1:17" ht="179.75" customHeight="1" x14ac:dyDescent="0.35">
      <c r="A462" s="62" t="s">
        <v>4882</v>
      </c>
      <c r="B462" s="62" t="s">
        <v>218</v>
      </c>
      <c r="C462" s="63" t="s">
        <v>4883</v>
      </c>
      <c r="D462" s="63" t="s">
        <v>135</v>
      </c>
      <c r="E462" s="62" t="s">
        <v>4884</v>
      </c>
      <c r="F462" s="63" t="s">
        <v>4883</v>
      </c>
      <c r="G462" s="62" t="s">
        <v>4885</v>
      </c>
      <c r="H462" s="63" t="s">
        <v>4886</v>
      </c>
      <c r="I462" s="63" t="s">
        <v>4887</v>
      </c>
      <c r="J462" s="63" t="s">
        <v>4888</v>
      </c>
      <c r="K462" s="63" t="s">
        <v>4889</v>
      </c>
      <c r="L462" s="63" t="s">
        <v>4890</v>
      </c>
      <c r="M462" s="64" t="str">
        <f>HYPERLINK("https://www.communitycomply.com/case-studies","https://www.communitycomply.com/case-studies")</f>
        <v>https://www.communitycomply.com/case-studies</v>
      </c>
      <c r="N462" s="63" t="s">
        <v>4891</v>
      </c>
      <c r="O462" s="63" t="s">
        <v>4892</v>
      </c>
      <c r="P462" s="62" t="s">
        <v>119</v>
      </c>
      <c r="Q462" s="62" t="s">
        <v>35</v>
      </c>
    </row>
    <row r="463" spans="1:17" ht="179.75" customHeight="1" x14ac:dyDescent="0.35">
      <c r="A463" s="62" t="s">
        <v>4893</v>
      </c>
      <c r="B463" s="62" t="s">
        <v>218</v>
      </c>
      <c r="C463" s="63" t="s">
        <v>3148</v>
      </c>
      <c r="D463" s="63" t="s">
        <v>161</v>
      </c>
      <c r="E463" s="62" t="s">
        <v>4894</v>
      </c>
      <c r="F463" s="63" t="s">
        <v>3148</v>
      </c>
      <c r="G463" s="62" t="s">
        <v>4895</v>
      </c>
      <c r="H463" s="63" t="s">
        <v>4896</v>
      </c>
      <c r="I463" s="63" t="s">
        <v>4897</v>
      </c>
      <c r="J463" s="63" t="s">
        <v>4898</v>
      </c>
      <c r="K463" s="63" t="s">
        <v>4889</v>
      </c>
      <c r="L463" s="63" t="s">
        <v>4899</v>
      </c>
      <c r="M463" s="64" t="str">
        <f>HYPERLINK("https://www.neighborhoodcornerstone.com/post/7-hidden-fees-your-hoa-manager-is-not-telling-you-about","https://www.neighborhoodcornerstone.com/post/7-hidden-fees-your-hoa-manager-is-not-telling-you-about")</f>
        <v>https://www.neighborhoodcornerstone.com/post/7-hidden-fees-your-hoa-manager-is-not-telling-you-about</v>
      </c>
      <c r="N463" s="63" t="s">
        <v>4900</v>
      </c>
      <c r="O463" s="63" t="s">
        <v>4901</v>
      </c>
      <c r="P463" s="62" t="s">
        <v>119</v>
      </c>
      <c r="Q463" s="62" t="s">
        <v>35</v>
      </c>
    </row>
    <row r="464" spans="1:17" ht="179.75" customHeight="1" x14ac:dyDescent="0.35">
      <c r="A464" s="62" t="s">
        <v>4902</v>
      </c>
      <c r="B464" s="62" t="s">
        <v>218</v>
      </c>
      <c r="C464" s="63" t="s">
        <v>4903</v>
      </c>
      <c r="D464" s="63" t="s">
        <v>161</v>
      </c>
      <c r="E464" s="62" t="s">
        <v>4904</v>
      </c>
      <c r="F464" s="63" t="s">
        <v>4905</v>
      </c>
      <c r="G464" s="62" t="s">
        <v>4906</v>
      </c>
      <c r="H464" s="63" t="s">
        <v>4907</v>
      </c>
      <c r="I464" s="63" t="s">
        <v>4908</v>
      </c>
      <c r="J464" s="63" t="s">
        <v>4909</v>
      </c>
      <c r="K464" s="63" t="s">
        <v>129</v>
      </c>
      <c r="L464" s="63" t="s">
        <v>4910</v>
      </c>
      <c r="M464" s="64" t="str">
        <f>HYPERLINK("https://www.reddit.com/r/GeneralContractor/comments/1vlkmfw/professionalmoralethical_concerns_property/","https://www.reddit.com/r/GeneralContractor/comments/1vlkmfw/professionalmoralethical_concerns_property/")</f>
        <v>https://www.reddit.com/r/GeneralContractor/comments/1vlkmfw/professionalmoralethical_concerns_property/</v>
      </c>
      <c r="N464" s="63" t="s">
        <v>169</v>
      </c>
      <c r="O464" s="63" t="s">
        <v>4911</v>
      </c>
      <c r="P464" s="62" t="s">
        <v>119</v>
      </c>
      <c r="Q464" s="62" t="s">
        <v>35</v>
      </c>
    </row>
    <row r="465" spans="1:17" ht="179.75" customHeight="1" x14ac:dyDescent="0.35">
      <c r="A465" s="62" t="s">
        <v>4912</v>
      </c>
      <c r="B465" s="62" t="s">
        <v>218</v>
      </c>
      <c r="C465" s="63" t="s">
        <v>4913</v>
      </c>
      <c r="D465" s="63" t="s">
        <v>161</v>
      </c>
      <c r="E465" s="62" t="s">
        <v>4914</v>
      </c>
      <c r="F465" s="63" t="s">
        <v>4915</v>
      </c>
      <c r="G465" s="62" t="s">
        <v>4916</v>
      </c>
      <c r="H465" s="63" t="s">
        <v>4917</v>
      </c>
      <c r="I465" s="63" t="s">
        <v>4018</v>
      </c>
      <c r="J465" s="63" t="s">
        <v>3929</v>
      </c>
      <c r="K465" s="63" t="s">
        <v>129</v>
      </c>
      <c r="L465" s="63" t="s">
        <v>4918</v>
      </c>
      <c r="M465" s="64" t="str">
        <f>HYPERLINK("https://www.reddit.com/r/fuckHOA/comments/1hrssbs","https://www.reddit.com/r/fuckHOA/comments/1hrssbs")</f>
        <v>https://www.reddit.com/r/fuckHOA/comments/1hrssbs</v>
      </c>
      <c r="N465" s="63" t="s">
        <v>169</v>
      </c>
      <c r="O465" s="63" t="s">
        <v>4919</v>
      </c>
      <c r="P465" s="62" t="s">
        <v>119</v>
      </c>
      <c r="Q465" s="62" t="s">
        <v>35</v>
      </c>
    </row>
    <row r="466" spans="1:17" ht="179.75" customHeight="1" x14ac:dyDescent="0.35">
      <c r="A466" s="62" t="s">
        <v>4920</v>
      </c>
      <c r="B466" s="62" t="s">
        <v>218</v>
      </c>
      <c r="C466" s="63" t="s">
        <v>4408</v>
      </c>
      <c r="D466" s="63" t="s">
        <v>161</v>
      </c>
      <c r="E466" s="62" t="s">
        <v>4921</v>
      </c>
      <c r="F466" s="63" t="s">
        <v>4922</v>
      </c>
      <c r="G466" s="62" t="s">
        <v>4923</v>
      </c>
      <c r="H466" s="63" t="s">
        <v>4924</v>
      </c>
      <c r="I466" s="63" t="s">
        <v>4925</v>
      </c>
      <c r="J466" s="63" t="s">
        <v>4926</v>
      </c>
      <c r="K466" s="63" t="s">
        <v>3164</v>
      </c>
      <c r="L466" s="63" t="s">
        <v>4927</v>
      </c>
      <c r="M466" s="64" t="str">
        <f>HYPERLINK("https://hoatalk.com/topics/65374/bids-kickbacks","https://hoatalk.com/topics/65374/bids-kickbacks")</f>
        <v>https://hoatalk.com/topics/65374/bids-kickbacks</v>
      </c>
      <c r="N466" s="63" t="s">
        <v>204</v>
      </c>
      <c r="O466" s="63" t="s">
        <v>4928</v>
      </c>
      <c r="P466" s="62" t="s">
        <v>3463</v>
      </c>
      <c r="Q466" s="62" t="s">
        <v>35</v>
      </c>
    </row>
    <row r="467" spans="1:17" ht="179.75" customHeight="1" x14ac:dyDescent="0.35">
      <c r="A467" s="62" t="s">
        <v>4929</v>
      </c>
      <c r="B467" s="62" t="s">
        <v>218</v>
      </c>
      <c r="C467" s="63" t="s">
        <v>4930</v>
      </c>
      <c r="D467" s="63" t="s">
        <v>149</v>
      </c>
      <c r="E467" s="62" t="s">
        <v>4931</v>
      </c>
      <c r="F467" s="63" t="s">
        <v>4932</v>
      </c>
      <c r="G467" s="62" t="s">
        <v>4933</v>
      </c>
      <c r="H467" s="63" t="s">
        <v>4934</v>
      </c>
      <c r="I467" s="63" t="s">
        <v>4935</v>
      </c>
      <c r="J467" s="63" t="s">
        <v>4936</v>
      </c>
      <c r="K467" s="63" t="s">
        <v>156</v>
      </c>
      <c r="L467" s="63" t="s">
        <v>4937</v>
      </c>
      <c r="M467" s="64" t="str">
        <f>HYPERLINK("https://www.habitatmag.com/Archive2/236-July-August-2007/Cash-and-Carry","https://www.habitatmag.com/Archive2/236-July-August-2007/Cash-and-Carry")</f>
        <v>https://www.habitatmag.com/Archive2/236-July-August-2007/Cash-and-Carry</v>
      </c>
      <c r="N467" s="63" t="s">
        <v>169</v>
      </c>
      <c r="O467" s="63" t="s">
        <v>4938</v>
      </c>
      <c r="P467" s="62" t="s">
        <v>119</v>
      </c>
      <c r="Q467" s="62" t="s">
        <v>35</v>
      </c>
    </row>
    <row r="468" spans="1:17" ht="179.75" customHeight="1" x14ac:dyDescent="0.35">
      <c r="A468" s="62" t="s">
        <v>4939</v>
      </c>
      <c r="B468" s="62" t="s">
        <v>218</v>
      </c>
      <c r="C468" s="63" t="s">
        <v>4940</v>
      </c>
      <c r="D468" s="63" t="s">
        <v>850</v>
      </c>
      <c r="E468" s="62" t="s">
        <v>4941</v>
      </c>
      <c r="F468" s="63" t="s">
        <v>4942</v>
      </c>
      <c r="G468" s="62" t="s">
        <v>4943</v>
      </c>
      <c r="H468" s="63" t="s">
        <v>4944</v>
      </c>
      <c r="I468" s="63" t="s">
        <v>176</v>
      </c>
      <c r="J468" s="63" t="s">
        <v>4945</v>
      </c>
      <c r="K468" s="63" t="s">
        <v>3415</v>
      </c>
      <c r="L468" s="63" t="s">
        <v>4946</v>
      </c>
      <c r="M468" s="64" t="str">
        <f>HYPERLINK("https://hoatalk.com/topics/367432/property-manager-with-possible-conflict-of-interes","https://hoatalk.com/topics/367432/property-manager-with-possible-conflict-of-interes")</f>
        <v>https://hoatalk.com/topics/367432/property-manager-with-possible-conflict-of-interes</v>
      </c>
      <c r="N468" s="63" t="s">
        <v>204</v>
      </c>
      <c r="O468" s="63" t="s">
        <v>4947</v>
      </c>
      <c r="P468" s="62" t="s">
        <v>119</v>
      </c>
      <c r="Q468" s="62" t="s">
        <v>35</v>
      </c>
    </row>
    <row r="469" spans="1:17" ht="179.75" customHeight="1" x14ac:dyDescent="0.35">
      <c r="A469" s="62" t="s">
        <v>4948</v>
      </c>
      <c r="B469" s="62" t="s">
        <v>218</v>
      </c>
      <c r="C469" s="63" t="s">
        <v>4949</v>
      </c>
      <c r="D469" s="63" t="s">
        <v>161</v>
      </c>
      <c r="E469" s="62" t="s">
        <v>4950</v>
      </c>
      <c r="F469" s="63" t="s">
        <v>4951</v>
      </c>
      <c r="G469" s="62" t="s">
        <v>4952</v>
      </c>
      <c r="H469" s="63" t="s">
        <v>4953</v>
      </c>
      <c r="I469" s="63" t="s">
        <v>4954</v>
      </c>
      <c r="J469" s="63" t="s">
        <v>4955</v>
      </c>
      <c r="K469" s="63" t="s">
        <v>4956</v>
      </c>
      <c r="L469" s="63" t="s">
        <v>4957</v>
      </c>
      <c r="M469" s="64" t="str">
        <f>HYPERLINK("https://www.ihginsurance.com/Education-Resources/Risk-Control-Resources/Property-Manager-Accounting-Fraud","https://www.ihginsurance.com/Education-Resources/Risk-Control-Resources/Property-Manager-Accounting-Fraud")</f>
        <v>https://www.ihginsurance.com/Education-Resources/Risk-Control-Resources/Property-Manager-Accounting-Fraud</v>
      </c>
      <c r="N469" s="63" t="s">
        <v>4778</v>
      </c>
      <c r="O469" s="63" t="s">
        <v>4958</v>
      </c>
      <c r="P469" s="62" t="s">
        <v>119</v>
      </c>
      <c r="Q469" s="62" t="s">
        <v>35</v>
      </c>
    </row>
    <row r="470" spans="1:17" ht="179.75" customHeight="1" x14ac:dyDescent="0.35">
      <c r="A470" s="62" t="s">
        <v>4959</v>
      </c>
      <c r="B470" s="62" t="s">
        <v>218</v>
      </c>
      <c r="C470" s="63" t="s">
        <v>4960</v>
      </c>
      <c r="D470" s="63" t="s">
        <v>4961</v>
      </c>
      <c r="E470" s="62" t="s">
        <v>4962</v>
      </c>
      <c r="F470" s="63" t="s">
        <v>4963</v>
      </c>
      <c r="G470" s="62" t="s">
        <v>4964</v>
      </c>
      <c r="H470" s="63" t="s">
        <v>4965</v>
      </c>
      <c r="I470" s="63" t="s">
        <v>4966</v>
      </c>
      <c r="J470" s="63" t="s">
        <v>4967</v>
      </c>
      <c r="K470" s="63" t="s">
        <v>4968</v>
      </c>
      <c r="L470" s="63" t="s">
        <v>4969</v>
      </c>
      <c r="M470" s="64" t="str">
        <f>HYPERLINK("https://nevada.cooperatornews.com/article/spotting-financial-irregularities","https://nevada.cooperatornews.com/article/spotting-financial-irregularities")</f>
        <v>https://nevada.cooperatornews.com/article/spotting-financial-irregularities</v>
      </c>
      <c r="N470" s="63" t="s">
        <v>4970</v>
      </c>
      <c r="O470" s="63" t="s">
        <v>4971</v>
      </c>
      <c r="P470" s="62" t="s">
        <v>119</v>
      </c>
      <c r="Q470" s="62" t="s">
        <v>35</v>
      </c>
    </row>
    <row r="471" spans="1:17" ht="179.75" customHeight="1" x14ac:dyDescent="0.35">
      <c r="A471" s="62" t="s">
        <v>4972</v>
      </c>
      <c r="B471" s="62" t="s">
        <v>218</v>
      </c>
      <c r="C471" s="63" t="s">
        <v>4973</v>
      </c>
      <c r="D471" s="63" t="s">
        <v>161</v>
      </c>
      <c r="E471" s="62" t="s">
        <v>4904</v>
      </c>
      <c r="F471" s="63" t="s">
        <v>4974</v>
      </c>
      <c r="G471" s="62" t="s">
        <v>4975</v>
      </c>
      <c r="H471" s="63" t="s">
        <v>4976</v>
      </c>
      <c r="I471" s="63" t="s">
        <v>4908</v>
      </c>
      <c r="J471" s="63" t="s">
        <v>4977</v>
      </c>
      <c r="K471" s="63" t="s">
        <v>4978</v>
      </c>
      <c r="L471" s="63" t="s">
        <v>4979</v>
      </c>
      <c r="M471" s="64" t="str">
        <f>HYPERLINK("https://www.reddit.com/r/Contractor/comments/1vlkmx8/professionalmoralethical_concerns_property/","https://www.reddit.com/r/Contractor/comments/1vlkmx8/professionalmoralethical_concerns_property/")</f>
        <v>https://www.reddit.com/r/Contractor/comments/1vlkmx8/professionalmoralethical_concerns_property/</v>
      </c>
      <c r="N471" s="63" t="s">
        <v>144</v>
      </c>
      <c r="O471" s="63" t="s">
        <v>4980</v>
      </c>
      <c r="P471" s="62" t="s">
        <v>119</v>
      </c>
      <c r="Q471" s="62" t="s">
        <v>35</v>
      </c>
    </row>
    <row r="472" spans="1:17" ht="179.75" customHeight="1" x14ac:dyDescent="0.35">
      <c r="A472" s="62" t="s">
        <v>4981</v>
      </c>
      <c r="B472" s="62" t="s">
        <v>218</v>
      </c>
      <c r="C472" s="63" t="s">
        <v>4982</v>
      </c>
      <c r="D472" s="63" t="s">
        <v>122</v>
      </c>
      <c r="E472" s="62" t="s">
        <v>4983</v>
      </c>
      <c r="F472" s="63" t="s">
        <v>4984</v>
      </c>
      <c r="G472" s="62" t="s">
        <v>4985</v>
      </c>
      <c r="H472" s="63" t="s">
        <v>4986</v>
      </c>
      <c r="I472" s="63" t="s">
        <v>4987</v>
      </c>
      <c r="J472" s="63" t="s">
        <v>4988</v>
      </c>
      <c r="K472" s="63" t="s">
        <v>4989</v>
      </c>
      <c r="L472" s="63" t="s">
        <v>4990</v>
      </c>
      <c r="M472" s="64" t="str">
        <f>HYPERLINK("https://www.grahammanagementhouston.com/hoa-management-companies/","https://www.grahammanagementhouston.com/hoa-management-companies/")</f>
        <v>https://www.grahammanagementhouston.com/hoa-management-companies/</v>
      </c>
      <c r="N472" s="63" t="s">
        <v>4778</v>
      </c>
      <c r="O472" s="63" t="s">
        <v>4991</v>
      </c>
      <c r="P472" s="62" t="s">
        <v>119</v>
      </c>
      <c r="Q472" s="62" t="s">
        <v>35</v>
      </c>
    </row>
    <row r="473" spans="1:17" ht="179.75" customHeight="1" x14ac:dyDescent="0.35">
      <c r="A473" s="62" t="s">
        <v>4992</v>
      </c>
      <c r="B473" s="62" t="s">
        <v>218</v>
      </c>
      <c r="C473" s="63" t="s">
        <v>4993</v>
      </c>
      <c r="D473" s="63" t="s">
        <v>195</v>
      </c>
      <c r="E473" s="62" t="s">
        <v>4994</v>
      </c>
      <c r="F473" s="63" t="s">
        <v>4984</v>
      </c>
      <c r="G473" s="62" t="s">
        <v>4995</v>
      </c>
      <c r="H473" s="63" t="s">
        <v>4996</v>
      </c>
      <c r="I473" s="63" t="s">
        <v>4997</v>
      </c>
      <c r="J473" s="63" t="s">
        <v>4998</v>
      </c>
      <c r="K473" s="63" t="s">
        <v>4999</v>
      </c>
      <c r="L473" s="63" t="s">
        <v>5000</v>
      </c>
      <c r="M473" s="64" t="str">
        <f>HYPERLINK("https://pmpmanage.com/vendor-fee-is-not-standard-practice/","https://pmpmanage.com/vendor-fee-is-not-standard-practice/")</f>
        <v>https://pmpmanage.com/vendor-fee-is-not-standard-practice/</v>
      </c>
      <c r="N473" s="63" t="s">
        <v>4778</v>
      </c>
      <c r="O473" s="63" t="s">
        <v>5001</v>
      </c>
      <c r="P473" s="62" t="s">
        <v>119</v>
      </c>
      <c r="Q473" s="62" t="s">
        <v>35</v>
      </c>
    </row>
    <row r="474" spans="1:17" ht="179.75" customHeight="1" x14ac:dyDescent="0.35">
      <c r="A474" s="62" t="s">
        <v>5002</v>
      </c>
      <c r="B474" s="62" t="s">
        <v>218</v>
      </c>
      <c r="C474" s="63" t="s">
        <v>5003</v>
      </c>
      <c r="D474" s="63" t="s">
        <v>517</v>
      </c>
      <c r="E474" s="62" t="s">
        <v>5004</v>
      </c>
      <c r="F474" s="63" t="s">
        <v>4984</v>
      </c>
      <c r="G474" s="62" t="s">
        <v>5005</v>
      </c>
      <c r="H474" s="63" t="s">
        <v>5006</v>
      </c>
      <c r="I474" s="63" t="s">
        <v>5007</v>
      </c>
      <c r="J474" s="63" t="s">
        <v>5008</v>
      </c>
      <c r="K474" s="63" t="s">
        <v>5009</v>
      </c>
      <c r="L474" s="63" t="s">
        <v>5010</v>
      </c>
      <c r="M474" s="64" t="str">
        <f>HYPERLINK("https://keycmi.com/tools-of-the-trade-hoa-board-project-planning-and-hiring-a-professional-vendor/","https://keycmi.com/tools-of-the-trade-hoa-board-project-planning-and-hiring-a-professional-vendor/")</f>
        <v>https://keycmi.com/tools-of-the-trade-hoa-board-project-planning-and-hiring-a-professional-vendor/</v>
      </c>
      <c r="N474" s="63" t="s">
        <v>4778</v>
      </c>
      <c r="O474" s="63" t="s">
        <v>5011</v>
      </c>
      <c r="P474" s="62" t="s">
        <v>119</v>
      </c>
      <c r="Q474" s="62" t="s">
        <v>35</v>
      </c>
    </row>
    <row r="475" spans="1:17" ht="179.75" customHeight="1" x14ac:dyDescent="0.35">
      <c r="A475" s="62" t="s">
        <v>5012</v>
      </c>
      <c r="B475" s="62" t="s">
        <v>218</v>
      </c>
      <c r="C475" s="63" t="s">
        <v>5013</v>
      </c>
      <c r="D475" s="63" t="s">
        <v>195</v>
      </c>
      <c r="E475" s="62" t="s">
        <v>5014</v>
      </c>
      <c r="F475" s="63" t="s">
        <v>5015</v>
      </c>
      <c r="G475" s="62" t="s">
        <v>5016</v>
      </c>
      <c r="H475" s="63" t="s">
        <v>5017</v>
      </c>
      <c r="I475" s="63" t="s">
        <v>5018</v>
      </c>
      <c r="J475" s="63" t="s">
        <v>5019</v>
      </c>
      <c r="K475" s="63" t="s">
        <v>5014</v>
      </c>
      <c r="L475" s="63" t="s">
        <v>5020</v>
      </c>
      <c r="M475" s="64" t="str">
        <f>HYPERLINK("https://www.actionlife.com/disclosures","https://www.actionlife.com/disclosures")</f>
        <v>https://www.actionlife.com/disclosures</v>
      </c>
      <c r="N475" s="63" t="s">
        <v>5021</v>
      </c>
      <c r="O475" s="63" t="s">
        <v>5022</v>
      </c>
      <c r="P475" s="62" t="s">
        <v>119</v>
      </c>
      <c r="Q475" s="62" t="s">
        <v>35</v>
      </c>
    </row>
    <row r="476" spans="1:17" ht="179.75" customHeight="1" x14ac:dyDescent="0.35">
      <c r="A476" s="62" t="s">
        <v>5023</v>
      </c>
      <c r="B476" s="62" t="s">
        <v>218</v>
      </c>
      <c r="C476" s="63" t="s">
        <v>5024</v>
      </c>
      <c r="D476" s="63" t="s">
        <v>195</v>
      </c>
      <c r="E476" s="62" t="s">
        <v>5025</v>
      </c>
      <c r="F476" s="63" t="s">
        <v>5026</v>
      </c>
      <c r="G476" s="62" t="s">
        <v>5027</v>
      </c>
      <c r="H476" s="63" t="s">
        <v>5028</v>
      </c>
      <c r="I476" s="63" t="s">
        <v>5029</v>
      </c>
      <c r="J476" s="63" t="s">
        <v>5030</v>
      </c>
      <c r="K476" s="63" t="s">
        <v>5031</v>
      </c>
      <c r="L476" s="63" t="s">
        <v>5032</v>
      </c>
      <c r="M476" s="64" t="str">
        <f>HYPERLINK("https://buildingorder.com/","https://buildingorder.com/")</f>
        <v>https://buildingorder.com/</v>
      </c>
      <c r="N476" s="63" t="s">
        <v>5033</v>
      </c>
      <c r="O476" s="63" t="s">
        <v>5034</v>
      </c>
      <c r="P476" s="62" t="s">
        <v>119</v>
      </c>
      <c r="Q476" s="62" t="s">
        <v>35</v>
      </c>
    </row>
    <row r="477" spans="1:17" ht="179.75" customHeight="1" x14ac:dyDescent="0.35">
      <c r="A477" s="62" t="s">
        <v>5035</v>
      </c>
      <c r="B477" s="62" t="s">
        <v>218</v>
      </c>
      <c r="C477" s="63" t="s">
        <v>5036</v>
      </c>
      <c r="D477" s="63" t="s">
        <v>5037</v>
      </c>
      <c r="E477" s="62" t="s">
        <v>5038</v>
      </c>
      <c r="F477" s="63" t="s">
        <v>5039</v>
      </c>
      <c r="G477" s="62" t="s">
        <v>5040</v>
      </c>
      <c r="H477" s="63" t="s">
        <v>5041</v>
      </c>
      <c r="I477" s="63" t="s">
        <v>5042</v>
      </c>
      <c r="J477" s="63" t="s">
        <v>5043</v>
      </c>
      <c r="K477" s="63" t="s">
        <v>5038</v>
      </c>
      <c r="L477" s="63" t="s">
        <v>5044</v>
      </c>
      <c r="M477" s="64" t="str">
        <f>HYPERLINK("https://neighbrium.com/partners/hoa-management","https://neighbrium.com/partners/hoa-management")</f>
        <v>https://neighbrium.com/partners/hoa-management</v>
      </c>
      <c r="N477" s="63" t="s">
        <v>5033</v>
      </c>
      <c r="O477" s="63" t="s">
        <v>5045</v>
      </c>
      <c r="P477" s="62" t="s">
        <v>119</v>
      </c>
      <c r="Q477" s="62" t="s">
        <v>35</v>
      </c>
    </row>
    <row r="478" spans="1:17" ht="179.75" customHeight="1" x14ac:dyDescent="0.35">
      <c r="A478" s="62" t="s">
        <v>5046</v>
      </c>
      <c r="B478" s="62" t="s">
        <v>218</v>
      </c>
      <c r="C478" s="63" t="s">
        <v>5047</v>
      </c>
      <c r="D478" s="63" t="s">
        <v>195</v>
      </c>
      <c r="E478" s="62" t="s">
        <v>5048</v>
      </c>
      <c r="F478" s="63" t="s">
        <v>5049</v>
      </c>
      <c r="G478" s="62" t="s">
        <v>5050</v>
      </c>
      <c r="H478" s="63" t="s">
        <v>5051</v>
      </c>
      <c r="I478" s="63" t="s">
        <v>5052</v>
      </c>
      <c r="J478" s="63" t="s">
        <v>5053</v>
      </c>
      <c r="K478" s="63" t="s">
        <v>5054</v>
      </c>
      <c r="L478" s="63" t="s">
        <v>5055</v>
      </c>
      <c r="M478" s="64" t="str">
        <f>HYPERLINK("https://www.hoaunlimited.com/vendor-application","https://www.hoaunlimited.com/vendor-application")</f>
        <v>https://www.hoaunlimited.com/vendor-application</v>
      </c>
      <c r="N478" s="63" t="s">
        <v>5021</v>
      </c>
      <c r="O478" s="63" t="s">
        <v>5056</v>
      </c>
      <c r="P478" s="62" t="s">
        <v>119</v>
      </c>
      <c r="Q478" s="62" t="s">
        <v>35</v>
      </c>
    </row>
    <row r="479" spans="1:17" ht="179.75" customHeight="1" x14ac:dyDescent="0.35">
      <c r="A479" s="62" t="s">
        <v>5057</v>
      </c>
      <c r="B479" s="62" t="s">
        <v>218</v>
      </c>
      <c r="C479" s="63" t="s">
        <v>5058</v>
      </c>
      <c r="D479" s="63" t="s">
        <v>195</v>
      </c>
      <c r="E479" s="62" t="s">
        <v>5059</v>
      </c>
      <c r="F479" s="63" t="s">
        <v>5060</v>
      </c>
      <c r="G479" s="62" t="s">
        <v>5061</v>
      </c>
      <c r="H479" s="63" t="s">
        <v>5062</v>
      </c>
      <c r="I479" s="63" t="s">
        <v>5063</v>
      </c>
      <c r="J479" s="63" t="s">
        <v>5064</v>
      </c>
      <c r="K479" s="63" t="s">
        <v>5059</v>
      </c>
      <c r="L479" s="63" t="s">
        <v>5065</v>
      </c>
      <c r="M479" s="64" t="str">
        <f>HYPERLINK("https://sandiegocids.com/information-for-board-members/","https://sandiegocids.com/information-for-board-members/")</f>
        <v>https://sandiegocids.com/information-for-board-members/</v>
      </c>
      <c r="N479" s="63" t="s">
        <v>5021</v>
      </c>
      <c r="O479" s="63" t="s">
        <v>5066</v>
      </c>
      <c r="P479" s="62" t="s">
        <v>119</v>
      </c>
      <c r="Q479" s="62" t="s">
        <v>35</v>
      </c>
    </row>
    <row r="480" spans="1:17" ht="179.75" customHeight="1" x14ac:dyDescent="0.35">
      <c r="A480" s="62" t="s">
        <v>5067</v>
      </c>
      <c r="B480" s="62" t="s">
        <v>218</v>
      </c>
      <c r="C480" s="63" t="s">
        <v>5068</v>
      </c>
      <c r="D480" s="63" t="s">
        <v>296</v>
      </c>
      <c r="E480" s="62" t="s">
        <v>5069</v>
      </c>
      <c r="F480" s="63" t="s">
        <v>4984</v>
      </c>
      <c r="G480" s="62" t="s">
        <v>5070</v>
      </c>
      <c r="H480" s="63" t="s">
        <v>5071</v>
      </c>
      <c r="I480" s="63" t="s">
        <v>5072</v>
      </c>
      <c r="J480" s="63" t="s">
        <v>5073</v>
      </c>
      <c r="K480" s="63" t="s">
        <v>5074</v>
      </c>
      <c r="L480" s="63" t="s">
        <v>5075</v>
      </c>
      <c r="M480" s="64" t="str">
        <f>HYPERLINK("https://chicagopropertyservices.com/transparent-management-company/","https://chicagopropertyservices.com/transparent-management-company/")</f>
        <v>https://chicagopropertyservices.com/transparent-management-company/</v>
      </c>
      <c r="N480" s="63" t="s">
        <v>5021</v>
      </c>
      <c r="O480" s="63" t="s">
        <v>5076</v>
      </c>
      <c r="P480" s="62" t="s">
        <v>119</v>
      </c>
      <c r="Q480" s="62" t="s">
        <v>35</v>
      </c>
    </row>
    <row r="481" spans="1:17" ht="179.75" customHeight="1" x14ac:dyDescent="0.35">
      <c r="A481" s="62" t="s">
        <v>5077</v>
      </c>
      <c r="B481" s="62" t="s">
        <v>218</v>
      </c>
      <c r="C481" s="63" t="s">
        <v>5078</v>
      </c>
      <c r="D481" s="63" t="s">
        <v>5037</v>
      </c>
      <c r="E481" s="62" t="s">
        <v>5079</v>
      </c>
      <c r="F481" s="63" t="s">
        <v>5080</v>
      </c>
      <c r="G481" s="62" t="s">
        <v>5081</v>
      </c>
      <c r="H481" s="63" t="s">
        <v>5082</v>
      </c>
      <c r="I481" s="63" t="s">
        <v>5083</v>
      </c>
      <c r="J481" s="63" t="s">
        <v>5084</v>
      </c>
      <c r="K481" s="63" t="s">
        <v>5079</v>
      </c>
      <c r="L481" s="63" t="s">
        <v>5085</v>
      </c>
      <c r="M481" s="64" t="str">
        <f>HYPERLINK("https://cambrands.com/vendor-pricing/","https://cambrands.com/vendor-pricing/")</f>
        <v>https://cambrands.com/vendor-pricing/</v>
      </c>
      <c r="N481" s="63" t="s">
        <v>5033</v>
      </c>
      <c r="O481" s="63" t="s">
        <v>5086</v>
      </c>
      <c r="P481" s="62" t="s">
        <v>119</v>
      </c>
      <c r="Q481" s="62" t="s">
        <v>35</v>
      </c>
    </row>
    <row r="482" spans="1:17" ht="179.75" customHeight="1" x14ac:dyDescent="0.35">
      <c r="A482" s="62" t="s">
        <v>5087</v>
      </c>
      <c r="B482" s="62" t="s">
        <v>218</v>
      </c>
      <c r="C482" s="63" t="s">
        <v>5078</v>
      </c>
      <c r="D482" s="63" t="s">
        <v>5037</v>
      </c>
      <c r="E482" s="62" t="s">
        <v>5088</v>
      </c>
      <c r="F482" s="63" t="s">
        <v>5089</v>
      </c>
      <c r="G482" s="62" t="s">
        <v>5090</v>
      </c>
      <c r="H482" s="63" t="s">
        <v>5091</v>
      </c>
      <c r="I482" s="63" t="s">
        <v>5092</v>
      </c>
      <c r="J482" s="63" t="s">
        <v>5093</v>
      </c>
      <c r="K482" s="63" t="s">
        <v>5088</v>
      </c>
      <c r="L482" s="63" t="s">
        <v>5094</v>
      </c>
      <c r="M482" s="64" t="str">
        <f>HYPERLINK("https://www.hoashare.com/vendors","https://www.hoashare.com/vendors")</f>
        <v>https://www.hoashare.com/vendors</v>
      </c>
      <c r="N482" s="63" t="s">
        <v>5033</v>
      </c>
      <c r="O482" s="63" t="s">
        <v>5095</v>
      </c>
      <c r="P482" s="62" t="s">
        <v>119</v>
      </c>
      <c r="Q482" s="62" t="s">
        <v>35</v>
      </c>
    </row>
    <row r="483" spans="1:17" ht="179.75" customHeight="1" x14ac:dyDescent="0.35">
      <c r="A483" s="62" t="s">
        <v>5096</v>
      </c>
      <c r="B483" s="62" t="s">
        <v>218</v>
      </c>
      <c r="C483" s="63" t="s">
        <v>5097</v>
      </c>
      <c r="D483" s="63" t="s">
        <v>5098</v>
      </c>
      <c r="E483" s="62" t="s">
        <v>5099</v>
      </c>
      <c r="F483" s="63" t="s">
        <v>5100</v>
      </c>
      <c r="G483" s="62" t="s">
        <v>5101</v>
      </c>
      <c r="H483" s="63" t="s">
        <v>5102</v>
      </c>
      <c r="I483" s="63" t="s">
        <v>5103</v>
      </c>
      <c r="J483" s="63" t="s">
        <v>5104</v>
      </c>
      <c r="K483" s="63" t="s">
        <v>5099</v>
      </c>
      <c r="L483" s="63" t="s">
        <v>5105</v>
      </c>
      <c r="M483" s="64" t="str">
        <f>HYPERLINK("https://preferredvendorlists.com/contact","https://preferredvendorlists.com/contact")</f>
        <v>https://preferredvendorlists.com/contact</v>
      </c>
      <c r="N483" s="63" t="s">
        <v>5106</v>
      </c>
      <c r="O483" s="63" t="s">
        <v>5107</v>
      </c>
      <c r="P483" s="62" t="s">
        <v>119</v>
      </c>
      <c r="Q483" s="62" t="s">
        <v>35</v>
      </c>
    </row>
    <row r="484" spans="1:17" ht="179.75" customHeight="1" x14ac:dyDescent="0.35">
      <c r="A484" s="62" t="s">
        <v>5108</v>
      </c>
      <c r="B484" s="62" t="s">
        <v>218</v>
      </c>
      <c r="C484" s="63" t="s">
        <v>5109</v>
      </c>
      <c r="D484" s="63" t="s">
        <v>161</v>
      </c>
      <c r="E484" s="62" t="s">
        <v>5110</v>
      </c>
      <c r="F484" s="63" t="s">
        <v>5111</v>
      </c>
      <c r="G484" s="62" t="s">
        <v>5112</v>
      </c>
      <c r="H484" s="63" t="s">
        <v>5113</v>
      </c>
      <c r="I484" s="63" t="s">
        <v>5114</v>
      </c>
      <c r="J484" s="63" t="s">
        <v>5115</v>
      </c>
      <c r="K484" s="63" t="s">
        <v>5116</v>
      </c>
      <c r="L484" s="63" t="s">
        <v>5117</v>
      </c>
      <c r="M484" s="64" t="str">
        <f>HYPERLINK("https://www.reddit.com/r/maintenance/comments/1k4cpp4/im_so_pissed_at_our_approved_vendor_list/","https://www.reddit.com/r/maintenance/comments/1k4cpp4/im_so_pissed_at_our_approved_vendor_list/")</f>
        <v>https://www.reddit.com/r/maintenance/comments/1k4cpp4/im_so_pissed_at_our_approved_vendor_list/</v>
      </c>
      <c r="N484" s="63" t="s">
        <v>5118</v>
      </c>
      <c r="O484" s="63" t="s">
        <v>5119</v>
      </c>
      <c r="P484" s="62" t="s">
        <v>119</v>
      </c>
      <c r="Q484" s="62" t="s">
        <v>35</v>
      </c>
    </row>
    <row r="485" spans="1:17" ht="179.75" customHeight="1" x14ac:dyDescent="0.35">
      <c r="A485" s="62" t="s">
        <v>5120</v>
      </c>
      <c r="B485" s="62" t="s">
        <v>218</v>
      </c>
      <c r="C485" s="63" t="s">
        <v>5121</v>
      </c>
      <c r="D485" s="63" t="s">
        <v>1560</v>
      </c>
      <c r="E485" s="62" t="s">
        <v>5122</v>
      </c>
      <c r="F485" s="63" t="s">
        <v>5123</v>
      </c>
      <c r="G485" s="62" t="s">
        <v>5124</v>
      </c>
      <c r="H485" s="63" t="s">
        <v>5125</v>
      </c>
      <c r="I485" s="63" t="s">
        <v>5126</v>
      </c>
      <c r="J485" s="63" t="s">
        <v>5127</v>
      </c>
      <c r="K485" s="63" t="s">
        <v>5128</v>
      </c>
      <c r="L485" s="63" t="s">
        <v>5129</v>
      </c>
      <c r="M485" s="64" t="str">
        <f>HYPERLINK("https://www.glassdoor.co.in/Reviews/Employee-Review-Dobler-Management-E1578817-RVW103455699.htm","https://www.glassdoor.co.in/Reviews/Employee-Review-Dobler-Management-E1578817-RVW103455699.htm")</f>
        <v>https://www.glassdoor.co.in/Reviews/Employee-Review-Dobler-Management-E1578817-RVW103455699.htm</v>
      </c>
      <c r="N485" s="63" t="s">
        <v>5130</v>
      </c>
      <c r="O485" s="63" t="s">
        <v>5131</v>
      </c>
      <c r="P485" s="62" t="s">
        <v>119</v>
      </c>
      <c r="Q485" s="62" t="s">
        <v>35</v>
      </c>
    </row>
    <row r="486" spans="1:17" ht="179.75" customHeight="1" x14ac:dyDescent="0.35">
      <c r="A486" s="62" t="s">
        <v>5132</v>
      </c>
      <c r="B486" s="62" t="s">
        <v>218</v>
      </c>
      <c r="C486" s="63" t="s">
        <v>5013</v>
      </c>
      <c r="D486" s="63" t="s">
        <v>5133</v>
      </c>
      <c r="E486" s="62" t="s">
        <v>5134</v>
      </c>
      <c r="F486" s="63" t="s">
        <v>5135</v>
      </c>
      <c r="G486" s="62" t="s">
        <v>5136</v>
      </c>
      <c r="H486" s="63" t="s">
        <v>5137</v>
      </c>
      <c r="I486" s="63" t="s">
        <v>5138</v>
      </c>
      <c r="J486" s="63" t="s">
        <v>5139</v>
      </c>
      <c r="K486" s="63" t="s">
        <v>5140</v>
      </c>
      <c r="L486" s="63" t="s">
        <v>5141</v>
      </c>
      <c r="M486" s="64" t="str">
        <f>HYPERLINK("https://www.sentrymgt.com/affiliates/","https://www.sentrymgt.com/affiliates/")</f>
        <v>https://www.sentrymgt.com/affiliates/</v>
      </c>
      <c r="N486" s="63" t="s">
        <v>5021</v>
      </c>
      <c r="O486" s="63" t="s">
        <v>5142</v>
      </c>
      <c r="P486" s="62" t="s">
        <v>3463</v>
      </c>
      <c r="Q486" s="62" t="s">
        <v>35</v>
      </c>
    </row>
    <row r="487" spans="1:17" ht="179.75" customHeight="1" x14ac:dyDescent="0.35">
      <c r="A487" s="62" t="s">
        <v>5143</v>
      </c>
      <c r="B487" s="62" t="s">
        <v>218</v>
      </c>
      <c r="C487" s="63" t="s">
        <v>5144</v>
      </c>
      <c r="D487" s="63" t="s">
        <v>5037</v>
      </c>
      <c r="E487" s="62" t="s">
        <v>5145</v>
      </c>
      <c r="F487" s="63" t="s">
        <v>5146</v>
      </c>
      <c r="G487" s="62" t="s">
        <v>5147</v>
      </c>
      <c r="H487" s="63" t="s">
        <v>5148</v>
      </c>
      <c r="I487" s="63" t="s">
        <v>5149</v>
      </c>
      <c r="J487" s="63" t="s">
        <v>5150</v>
      </c>
      <c r="K487" s="63" t="s">
        <v>5151</v>
      </c>
      <c r="L487" s="63" t="s">
        <v>5152</v>
      </c>
      <c r="M487" s="64" t="str">
        <f>HYPERLINK("https://jellybirdhoa.com/terms-and-conditions/","https://jellybirdhoa.com/terms-and-conditions/")</f>
        <v>https://jellybirdhoa.com/terms-and-conditions/</v>
      </c>
      <c r="N487" s="63" t="s">
        <v>5021</v>
      </c>
      <c r="O487" s="63" t="s">
        <v>5153</v>
      </c>
      <c r="P487" s="62" t="s">
        <v>3463</v>
      </c>
      <c r="Q487" s="62" t="s">
        <v>35</v>
      </c>
    </row>
    <row r="488" spans="1:17" ht="179.75" customHeight="1" x14ac:dyDescent="0.35">
      <c r="A488" s="62" t="s">
        <v>5154</v>
      </c>
      <c r="B488" s="62" t="s">
        <v>218</v>
      </c>
      <c r="C488" s="63" t="s">
        <v>5155</v>
      </c>
      <c r="D488" s="63" t="s">
        <v>5037</v>
      </c>
      <c r="E488" s="62" t="s">
        <v>5156</v>
      </c>
      <c r="F488" s="63" t="s">
        <v>5157</v>
      </c>
      <c r="G488" s="62" t="s">
        <v>5158</v>
      </c>
      <c r="H488" s="63" t="s">
        <v>5159</v>
      </c>
      <c r="I488" s="63" t="s">
        <v>5160</v>
      </c>
      <c r="J488" s="63" t="s">
        <v>5161</v>
      </c>
      <c r="K488" s="63" t="s">
        <v>5156</v>
      </c>
      <c r="L488" s="63" t="s">
        <v>5162</v>
      </c>
      <c r="M488" s="64" t="str">
        <f>HYPERLINK("https://insuranceproagencies.com/property-manager-insurance-referral-guide","https://insuranceproagencies.com/property-manager-insurance-referral-guide")</f>
        <v>https://insuranceproagencies.com/property-manager-insurance-referral-guide</v>
      </c>
      <c r="N488" s="63" t="s">
        <v>5021</v>
      </c>
      <c r="O488" s="63" t="s">
        <v>5163</v>
      </c>
      <c r="P488" s="62" t="s">
        <v>3463</v>
      </c>
      <c r="Q488" s="62" t="s">
        <v>35</v>
      </c>
    </row>
    <row r="489" spans="1:17" ht="179.75" customHeight="1" x14ac:dyDescent="0.35">
      <c r="A489" s="62" t="s">
        <v>5164</v>
      </c>
      <c r="B489" s="62" t="s">
        <v>218</v>
      </c>
      <c r="C489" s="63" t="s">
        <v>5165</v>
      </c>
      <c r="D489" s="63" t="s">
        <v>5037</v>
      </c>
      <c r="E489" s="62" t="s">
        <v>5166</v>
      </c>
      <c r="F489" s="63" t="s">
        <v>5167</v>
      </c>
      <c r="G489" s="62" t="s">
        <v>5168</v>
      </c>
      <c r="H489" s="63" t="s">
        <v>5169</v>
      </c>
      <c r="I489" s="63" t="s">
        <v>5170</v>
      </c>
      <c r="J489" s="63" t="s">
        <v>5171</v>
      </c>
      <c r="K489" s="63" t="s">
        <v>5166</v>
      </c>
      <c r="L489" s="63" t="s">
        <v>5172</v>
      </c>
      <c r="M489" s="64" t="str">
        <f>HYPERLINK("https://www.camadvisors.co/post/insurance-as-a-revenue-driver-for-hoa-management-companies","https://www.camadvisors.co/post/insurance-as-a-revenue-driver-for-hoa-management-companies")</f>
        <v>https://www.camadvisors.co/post/insurance-as-a-revenue-driver-for-hoa-management-companies</v>
      </c>
      <c r="N489" s="63" t="s">
        <v>5021</v>
      </c>
      <c r="O489" s="63" t="s">
        <v>5173</v>
      </c>
      <c r="P489" s="62" t="s">
        <v>3463</v>
      </c>
      <c r="Q489" s="62" t="s">
        <v>35</v>
      </c>
    </row>
    <row r="490" spans="1:17" ht="179.75" customHeight="1" x14ac:dyDescent="0.35">
      <c r="A490" s="62" t="s">
        <v>5174</v>
      </c>
      <c r="B490" s="62" t="s">
        <v>218</v>
      </c>
      <c r="C490" s="63" t="s">
        <v>5175</v>
      </c>
      <c r="D490" s="63" t="s">
        <v>122</v>
      </c>
      <c r="E490" s="62" t="s">
        <v>5176</v>
      </c>
      <c r="F490" s="63" t="s">
        <v>5177</v>
      </c>
      <c r="G490" s="62" t="s">
        <v>5178</v>
      </c>
      <c r="H490" s="63" t="s">
        <v>5179</v>
      </c>
      <c r="I490" s="63" t="s">
        <v>5180</v>
      </c>
      <c r="J490" s="63" t="s">
        <v>5181</v>
      </c>
      <c r="K490" s="63" t="s">
        <v>5182</v>
      </c>
      <c r="L490" s="63" t="s">
        <v>5183</v>
      </c>
      <c r="M490" s="64" t="str">
        <f>HYPERLINK("https://bphoa.info/documents/2021/Bids/Certified%20Managment%20of%20Austin.pdf","https://bphoa.info/documents/2021/Bids/Certified%20Managment%20of%20Austin.pdf")</f>
        <v>https://bphoa.info/documents/2021/Bids/Certified%20Managment%20of%20Austin.pdf</v>
      </c>
      <c r="N490" s="63" t="s">
        <v>5106</v>
      </c>
      <c r="O490" s="63" t="s">
        <v>5184</v>
      </c>
      <c r="P490" s="62" t="s">
        <v>3463</v>
      </c>
      <c r="Q490" s="62" t="s">
        <v>35</v>
      </c>
    </row>
    <row r="491" spans="1:17" ht="179.75" customHeight="1" x14ac:dyDescent="0.35">
      <c r="A491" s="62" t="s">
        <v>5185</v>
      </c>
      <c r="B491" s="62" t="s">
        <v>218</v>
      </c>
      <c r="C491" s="63" t="s">
        <v>5175</v>
      </c>
      <c r="D491" s="63" t="s">
        <v>161</v>
      </c>
      <c r="E491" s="62" t="s">
        <v>5186</v>
      </c>
      <c r="F491" s="63" t="s">
        <v>5187</v>
      </c>
      <c r="G491" s="62" t="s">
        <v>5188</v>
      </c>
      <c r="H491" s="63" t="s">
        <v>5189</v>
      </c>
      <c r="I491" s="63" t="s">
        <v>5190</v>
      </c>
      <c r="J491" s="63" t="s">
        <v>5191</v>
      </c>
      <c r="K491" s="63" t="s">
        <v>5186</v>
      </c>
      <c r="L491" s="63" t="s">
        <v>5192</v>
      </c>
      <c r="M491" s="64" t="str">
        <f>HYPERLINK("https://progressive-am.com/wp-content/uploads/2023/11/PAMContractAllIncludedSample.pdf","https://progressive-am.com/wp-content/uploads/2023/11/PAMContractAllIncludedSample.pdf")</f>
        <v>https://progressive-am.com/wp-content/uploads/2023/11/PAMContractAllIncludedSample.pdf</v>
      </c>
      <c r="N491" s="63" t="s">
        <v>5021</v>
      </c>
      <c r="O491" s="63" t="s">
        <v>5193</v>
      </c>
      <c r="P491" s="62" t="s">
        <v>119</v>
      </c>
      <c r="Q491" s="62" t="s">
        <v>35</v>
      </c>
    </row>
    <row r="492" spans="1:17" ht="179.75" customHeight="1" x14ac:dyDescent="0.35">
      <c r="A492" s="62" t="s">
        <v>5194</v>
      </c>
      <c r="B492" s="62" t="s">
        <v>218</v>
      </c>
      <c r="C492" s="63" t="s">
        <v>5195</v>
      </c>
      <c r="D492" s="63" t="s">
        <v>5037</v>
      </c>
      <c r="E492" s="62" t="s">
        <v>5196</v>
      </c>
      <c r="F492" s="63" t="s">
        <v>5197</v>
      </c>
      <c r="G492" s="62" t="s">
        <v>5198</v>
      </c>
      <c r="H492" s="63" t="s">
        <v>5199</v>
      </c>
      <c r="I492" s="63" t="s">
        <v>5200</v>
      </c>
      <c r="J492" s="63" t="s">
        <v>5201</v>
      </c>
      <c r="K492" s="63" t="s">
        <v>5196</v>
      </c>
      <c r="L492" s="63" t="s">
        <v>5202</v>
      </c>
      <c r="M492" s="64" t="str">
        <f>HYPERLINK("https://property.hoa.com/solutions/for-property-managers/","https://property.hoa.com/solutions/for-property-managers/")</f>
        <v>https://property.hoa.com/solutions/for-property-managers/</v>
      </c>
      <c r="N492" s="63" t="s">
        <v>5021</v>
      </c>
      <c r="O492" s="63" t="s">
        <v>5203</v>
      </c>
      <c r="P492" s="62" t="s">
        <v>119</v>
      </c>
      <c r="Q492" s="62" t="s">
        <v>35</v>
      </c>
    </row>
    <row r="493" spans="1:17" ht="179.75" customHeight="1" x14ac:dyDescent="0.35">
      <c r="A493" s="62" t="s">
        <v>5204</v>
      </c>
      <c r="B493" s="62" t="s">
        <v>218</v>
      </c>
      <c r="C493" s="63" t="s">
        <v>5058</v>
      </c>
      <c r="D493" s="63" t="s">
        <v>5205</v>
      </c>
      <c r="E493" s="62" t="s">
        <v>5206</v>
      </c>
      <c r="F493" s="63" t="s">
        <v>4984</v>
      </c>
      <c r="G493" s="62" t="s">
        <v>5207</v>
      </c>
      <c r="H493" s="63" t="s">
        <v>5208</v>
      </c>
      <c r="I493" s="63" t="s">
        <v>5209</v>
      </c>
      <c r="J493" s="63" t="s">
        <v>5210</v>
      </c>
      <c r="K493" s="63" t="s">
        <v>5206</v>
      </c>
      <c r="L493" s="63" t="s">
        <v>5211</v>
      </c>
      <c r="M493" s="64" t="str">
        <f>HYPERLINK("https://amlocommunitymanagement.com/how-to-vet-hoa-management-company-questions/","https://amlocommunitymanagement.com/how-to-vet-hoa-management-company-questions/")</f>
        <v>https://amlocommunitymanagement.com/how-to-vet-hoa-management-company-questions/</v>
      </c>
      <c r="N493" s="63" t="s">
        <v>5106</v>
      </c>
      <c r="O493" s="63" t="s">
        <v>5212</v>
      </c>
      <c r="P493" s="62" t="s">
        <v>119</v>
      </c>
      <c r="Q493" s="62" t="s">
        <v>35</v>
      </c>
    </row>
    <row r="494" spans="1:17" ht="179.75" customHeight="1" x14ac:dyDescent="0.35">
      <c r="A494" s="62" t="s">
        <v>5213</v>
      </c>
      <c r="B494" s="62" t="s">
        <v>218</v>
      </c>
      <c r="C494" s="63" t="s">
        <v>5214</v>
      </c>
      <c r="D494" s="63" t="s">
        <v>161</v>
      </c>
      <c r="E494" s="62" t="s">
        <v>5215</v>
      </c>
      <c r="F494" s="63" t="s">
        <v>5216</v>
      </c>
      <c r="G494" s="62" t="s">
        <v>5217</v>
      </c>
      <c r="H494" s="63" t="s">
        <v>5218</v>
      </c>
      <c r="I494" s="63" t="s">
        <v>5219</v>
      </c>
      <c r="J494" s="63" t="s">
        <v>5220</v>
      </c>
      <c r="K494" s="63" t="s">
        <v>4956</v>
      </c>
      <c r="L494" s="63" t="s">
        <v>5221</v>
      </c>
      <c r="M494" s="64" t="str">
        <f>HYPERLINK("https://www.ihginsurance.com/Education-Resources/Risk-Control-Resources/Embezzlement","https://www.ihginsurance.com/Education-Resources/Risk-Control-Resources/Embezzlement")</f>
        <v>https://www.ihginsurance.com/Education-Resources/Risk-Control-Resources/Embezzlement</v>
      </c>
      <c r="N494" s="63" t="s">
        <v>5222</v>
      </c>
      <c r="O494" s="63" t="s">
        <v>5223</v>
      </c>
      <c r="P494" s="62" t="s">
        <v>3463</v>
      </c>
      <c r="Q494" s="62" t="s">
        <v>35</v>
      </c>
    </row>
    <row r="495" spans="1:17" ht="179.75" customHeight="1" x14ac:dyDescent="0.35">
      <c r="A495" s="62" t="s">
        <v>5224</v>
      </c>
      <c r="B495" s="62" t="s">
        <v>218</v>
      </c>
      <c r="C495" s="63" t="s">
        <v>4089</v>
      </c>
      <c r="D495" s="63" t="s">
        <v>122</v>
      </c>
      <c r="E495" s="62" t="s">
        <v>5225</v>
      </c>
      <c r="F495" s="63" t="s">
        <v>5226</v>
      </c>
      <c r="G495" s="62" t="s">
        <v>5227</v>
      </c>
      <c r="H495" s="63" t="s">
        <v>5228</v>
      </c>
      <c r="I495" s="63" t="s">
        <v>5229</v>
      </c>
      <c r="J495" s="63" t="s">
        <v>5230</v>
      </c>
      <c r="K495" s="63" t="s">
        <v>5231</v>
      </c>
      <c r="L495" s="63" t="s">
        <v>5232</v>
      </c>
      <c r="M495" s="64" t="str">
        <f>HYPERLINK("https://www.linkedin.com/posts/riskwell-james_lost-a-big-renewal-client-today-im-annoyed-activity-7434688297320353792-tFhG","https://www.linkedin.com/posts/riskwell-james_lost-a-big-renewal-client-today-im-annoyed-activity-7434688297320353792-tFhG")</f>
        <v>https://www.linkedin.com/posts/riskwell-james_lost-a-big-renewal-client-today-im-annoyed-activity-7434688297320353792-tFhG</v>
      </c>
      <c r="N495" s="63" t="s">
        <v>3556</v>
      </c>
      <c r="O495" s="63" t="s">
        <v>5233</v>
      </c>
      <c r="P495" s="62" t="s">
        <v>3463</v>
      </c>
      <c r="Q495" s="62" t="s">
        <v>35</v>
      </c>
    </row>
    <row r="496" spans="1:17" ht="179.75" customHeight="1" x14ac:dyDescent="0.35">
      <c r="A496" s="62" t="s">
        <v>5234</v>
      </c>
      <c r="B496" s="62" t="s">
        <v>218</v>
      </c>
      <c r="C496" s="63" t="s">
        <v>5235</v>
      </c>
      <c r="D496" s="63" t="s">
        <v>161</v>
      </c>
      <c r="E496" s="62" t="s">
        <v>5236</v>
      </c>
      <c r="F496" s="63" t="s">
        <v>5237</v>
      </c>
      <c r="G496" s="62" t="s">
        <v>5238</v>
      </c>
      <c r="H496" s="63" t="s">
        <v>5239</v>
      </c>
      <c r="I496" s="63" t="s">
        <v>176</v>
      </c>
      <c r="J496" s="63" t="s">
        <v>5240</v>
      </c>
      <c r="K496" s="63" t="s">
        <v>3583</v>
      </c>
      <c r="L496" s="63" t="s">
        <v>5241</v>
      </c>
      <c r="M496" s="64" t="str">
        <f>HYPERLINK("https://www.reddit.com/r/HOA/comments/131w8ut/real_talk_about_property_management_corporations/","https://www.reddit.com/r/HOA/comments/131w8ut/real_talk_about_property_management_corporations/")</f>
        <v>https://www.reddit.com/r/HOA/comments/131w8ut/real_talk_about_property_management_corporations/</v>
      </c>
      <c r="N496" s="63" t="s">
        <v>5242</v>
      </c>
      <c r="O496" s="63" t="s">
        <v>5243</v>
      </c>
      <c r="P496" s="62" t="s">
        <v>119</v>
      </c>
      <c r="Q496" s="62" t="s">
        <v>35</v>
      </c>
    </row>
    <row r="497" spans="1:17" ht="179.75" customHeight="1" x14ac:dyDescent="0.35">
      <c r="A497" s="62" t="s">
        <v>5244</v>
      </c>
      <c r="B497" s="62" t="s">
        <v>218</v>
      </c>
      <c r="C497" s="63" t="s">
        <v>5245</v>
      </c>
      <c r="D497" s="63" t="s">
        <v>135</v>
      </c>
      <c r="E497" s="62" t="s">
        <v>5246</v>
      </c>
      <c r="F497" s="63" t="s">
        <v>5247</v>
      </c>
      <c r="G497" s="62" t="s">
        <v>5248</v>
      </c>
      <c r="H497" s="63" t="s">
        <v>5249</v>
      </c>
      <c r="I497" s="63" t="s">
        <v>5250</v>
      </c>
      <c r="J497" s="63" t="s">
        <v>5251</v>
      </c>
      <c r="K497" s="63" t="s">
        <v>5252</v>
      </c>
      <c r="L497" s="63" t="s">
        <v>5253</v>
      </c>
      <c r="M497" s="64" t="str">
        <f>HYPERLINK("https://www.reddit.com/r/HOA/comments/1m5v2u7/mn_condo_firstservice_residential_predatory/#comment-thread-preferred-vendor","https://www.reddit.com/r/HOA/comments/1m5v2u7/mn_condo_firstservice_residential_predatory/#comment-thread-preferred-vendor")</f>
        <v>https://www.reddit.com/r/HOA/comments/1m5v2u7/mn_condo_firstservice_residential_predatory/#comment-thread-preferred-vendor</v>
      </c>
      <c r="N497" s="63" t="s">
        <v>179</v>
      </c>
      <c r="O497" s="63" t="s">
        <v>5254</v>
      </c>
      <c r="P497" s="62" t="s">
        <v>119</v>
      </c>
      <c r="Q497" s="62" t="s">
        <v>35</v>
      </c>
    </row>
    <row r="498" spans="1:17" ht="179.75" customHeight="1" x14ac:dyDescent="0.35">
      <c r="A498" s="62" t="s">
        <v>5255</v>
      </c>
      <c r="B498" s="62" t="s">
        <v>218</v>
      </c>
      <c r="C498" s="63" t="s">
        <v>5245</v>
      </c>
      <c r="D498" s="63" t="s">
        <v>135</v>
      </c>
      <c r="E498" s="62" t="s">
        <v>5256</v>
      </c>
      <c r="F498" s="63" t="s">
        <v>5257</v>
      </c>
      <c r="G498" s="62" t="s">
        <v>5258</v>
      </c>
      <c r="H498" s="63" t="s">
        <v>5259</v>
      </c>
      <c r="I498" s="63" t="s">
        <v>5260</v>
      </c>
      <c r="J498" s="63" t="s">
        <v>5261</v>
      </c>
      <c r="K498" s="63" t="s">
        <v>5252</v>
      </c>
      <c r="L498" s="63" t="s">
        <v>5262</v>
      </c>
      <c r="M498" s="64" t="str">
        <f>HYPERLINK("https://www.reddit.com/r/HOA/comments/1m5v2u7/mn_condo_firstservice_residential_predatory/#comment-thread-insurance-split","https://www.reddit.com/r/HOA/comments/1m5v2u7/mn_condo_firstservice_residential_predatory/#comment-thread-insurance-split")</f>
        <v>https://www.reddit.com/r/HOA/comments/1m5v2u7/mn_condo_firstservice_residential_predatory/#comment-thread-insurance-split</v>
      </c>
      <c r="N498" s="63" t="s">
        <v>131</v>
      </c>
      <c r="O498" s="63" t="s">
        <v>5263</v>
      </c>
      <c r="P498" s="62" t="s">
        <v>3463</v>
      </c>
      <c r="Q498" s="62" t="s">
        <v>35</v>
      </c>
    </row>
    <row r="499" spans="1:17" ht="179.75" customHeight="1" x14ac:dyDescent="0.35">
      <c r="A499" s="62" t="s">
        <v>5264</v>
      </c>
      <c r="B499" s="62" t="s">
        <v>218</v>
      </c>
      <c r="C499" s="63" t="s">
        <v>5265</v>
      </c>
      <c r="D499" s="63" t="s">
        <v>109</v>
      </c>
      <c r="E499" s="62" t="s">
        <v>5266</v>
      </c>
      <c r="F499" s="63" t="s">
        <v>5267</v>
      </c>
      <c r="G499" s="62" t="s">
        <v>5268</v>
      </c>
      <c r="H499" s="63" t="s">
        <v>5269</v>
      </c>
      <c r="I499" s="63" t="s">
        <v>5270</v>
      </c>
      <c r="J499" s="63" t="s">
        <v>5271</v>
      </c>
      <c r="K499" s="63" t="s">
        <v>5272</v>
      </c>
      <c r="L499" s="63" t="s">
        <v>5273</v>
      </c>
      <c r="M499" s="64" t="str">
        <f>HYPERLINK("https://www.abc15.com/news/crime/police-scottsdale-management-co-employee-steals-200k-from-8-hoas","https://www.abc15.com/news/crime/police-scottsdale-management-co-employee-steals-200k-from-8-hoas")</f>
        <v>https://www.abc15.com/news/crime/police-scottsdale-management-co-employee-steals-200k-from-8-hoas</v>
      </c>
      <c r="N499" s="63" t="s">
        <v>5274</v>
      </c>
      <c r="O499" s="63" t="s">
        <v>5275</v>
      </c>
      <c r="P499" s="62" t="s">
        <v>119</v>
      </c>
      <c r="Q499" s="62" t="s">
        <v>35</v>
      </c>
    </row>
    <row r="500" spans="1:17" ht="179.75" customHeight="1" x14ac:dyDescent="0.35">
      <c r="A500" s="62" t="s">
        <v>5276</v>
      </c>
      <c r="B500" s="62" t="s">
        <v>218</v>
      </c>
      <c r="C500" s="63" t="s">
        <v>5277</v>
      </c>
      <c r="D500" s="63" t="s">
        <v>349</v>
      </c>
      <c r="E500" s="62" t="s">
        <v>5278</v>
      </c>
      <c r="F500" s="63" t="s">
        <v>5279</v>
      </c>
      <c r="G500" s="62" t="s">
        <v>5280</v>
      </c>
      <c r="H500" s="63" t="s">
        <v>5281</v>
      </c>
      <c r="I500" s="63" t="s">
        <v>5282</v>
      </c>
      <c r="J500" s="63" t="s">
        <v>5283</v>
      </c>
      <c r="K500" s="63" t="s">
        <v>5284</v>
      </c>
      <c r="L500" s="63" t="s">
        <v>5285</v>
      </c>
      <c r="M500" s="64" t="str">
        <f>HYPERLINK("https://www.newsfromthestates.com/article/federal-labor-board-settles-firstservice-residential-minnesota-over-anti-union-tactics","https://www.newsfromthestates.com/article/federal-labor-board-settles-firstservice-residential-minnesota-over-anti-union-tactics")</f>
        <v>https://www.newsfromthestates.com/article/federal-labor-board-settles-firstservice-residential-minnesota-over-anti-union-tactics</v>
      </c>
      <c r="N500" s="63" t="s">
        <v>5286</v>
      </c>
      <c r="O500" s="63" t="s">
        <v>5287</v>
      </c>
      <c r="P500" s="62" t="s">
        <v>5288</v>
      </c>
      <c r="Q500" s="62" t="s">
        <v>35</v>
      </c>
    </row>
    <row r="501" spans="1:17" ht="179.75" customHeight="1" x14ac:dyDescent="0.35">
      <c r="A501" s="62" t="s">
        <v>5289</v>
      </c>
      <c r="B501" s="62" t="s">
        <v>218</v>
      </c>
      <c r="C501" s="63" t="s">
        <v>5290</v>
      </c>
      <c r="D501" s="63" t="s">
        <v>349</v>
      </c>
      <c r="E501" s="62" t="s">
        <v>5291</v>
      </c>
      <c r="F501" s="63" t="s">
        <v>5292</v>
      </c>
      <c r="G501" s="62" t="s">
        <v>5293</v>
      </c>
      <c r="H501" s="63" t="s">
        <v>5294</v>
      </c>
      <c r="I501" s="63" t="s">
        <v>5295</v>
      </c>
      <c r="J501" s="63" t="s">
        <v>5296</v>
      </c>
      <c r="K501" s="63" t="s">
        <v>5297</v>
      </c>
      <c r="L501" s="63" t="s">
        <v>5298</v>
      </c>
      <c r="M501" s="64" t="str">
        <f>HYPERLINK("https://minnesotareformer.com/2023/06/07/minnesota-banned-noncompetes-a-major-property-manager-has-a-workaround/","https://minnesotareformer.com/2023/06/07/minnesota-banned-noncompetes-a-major-property-manager-has-a-workaround/")</f>
        <v>https://minnesotareformer.com/2023/06/07/minnesota-banned-noncompetes-a-major-property-manager-has-a-workaround/</v>
      </c>
      <c r="N501" s="63" t="s">
        <v>5299</v>
      </c>
      <c r="O501" s="63" t="s">
        <v>5300</v>
      </c>
      <c r="P501" s="62" t="s">
        <v>5301</v>
      </c>
      <c r="Q501" s="62" t="s">
        <v>35</v>
      </c>
    </row>
    <row r="502" spans="1:17" ht="179.75" customHeight="1" x14ac:dyDescent="0.35">
      <c r="A502" s="62" t="s">
        <v>5302</v>
      </c>
      <c r="B502" s="62" t="s">
        <v>5303</v>
      </c>
      <c r="C502" s="63" t="s">
        <v>5304</v>
      </c>
      <c r="D502" s="63" t="s">
        <v>5305</v>
      </c>
      <c r="E502" s="62" t="s">
        <v>5306</v>
      </c>
      <c r="F502" s="63" t="s">
        <v>5307</v>
      </c>
      <c r="G502" s="62" t="s">
        <v>5308</v>
      </c>
      <c r="H502" s="63" t="s">
        <v>5309</v>
      </c>
      <c r="I502" s="63" t="s">
        <v>5310</v>
      </c>
      <c r="J502" s="63" t="s">
        <v>5311</v>
      </c>
      <c r="K502" s="63" t="s">
        <v>5128</v>
      </c>
      <c r="L502" s="63" t="s">
        <v>5312</v>
      </c>
      <c r="M502" s="64" t="str">
        <f>HYPERLINK("https://www.glassdoor.com/Reviews/Employee-Review-FirstService-Residential-E307071-RVW19067187.htm","https://www.glassdoor.com/Reviews/Employee-Review-FirstService-Residential-E307071-RVW19067187.htm")</f>
        <v>https://www.glassdoor.com/Reviews/Employee-Review-FirstService-Residential-E307071-RVW19067187.htm</v>
      </c>
      <c r="N502" s="63" t="s">
        <v>5313</v>
      </c>
      <c r="O502" s="63" t="s">
        <v>5314</v>
      </c>
      <c r="P502" s="62" t="s">
        <v>5301</v>
      </c>
      <c r="Q502" s="62" t="s">
        <v>35</v>
      </c>
    </row>
    <row r="503" spans="1:17" ht="179.75" customHeight="1" x14ac:dyDescent="0.35">
      <c r="A503" s="62" t="s">
        <v>5315</v>
      </c>
      <c r="B503" s="62" t="s">
        <v>1156</v>
      </c>
      <c r="C503" s="63" t="s">
        <v>5316</v>
      </c>
      <c r="D503" s="63" t="s">
        <v>122</v>
      </c>
      <c r="E503" s="62" t="s">
        <v>5317</v>
      </c>
      <c r="F503" s="63" t="s">
        <v>5318</v>
      </c>
      <c r="G503" s="62" t="s">
        <v>5319</v>
      </c>
      <c r="H503" s="63" t="s">
        <v>5320</v>
      </c>
      <c r="I503" s="63" t="s">
        <v>5321</v>
      </c>
      <c r="J503" s="63" t="s">
        <v>5322</v>
      </c>
      <c r="K503" s="63" t="s">
        <v>5323</v>
      </c>
      <c r="L503" s="63" t="s">
        <v>5324</v>
      </c>
      <c r="M503" s="64" t="str">
        <f>HYPERLINK("https://ellago-tx.gov/hoa/el-lago-point/","https://ellago-tx.gov/hoa/el-lago-point/")</f>
        <v>https://ellago-tx.gov/hoa/el-lago-point/</v>
      </c>
      <c r="N503" s="63" t="s">
        <v>5325</v>
      </c>
      <c r="O503" s="63" t="s">
        <v>5326</v>
      </c>
      <c r="P503" s="62" t="s">
        <v>413</v>
      </c>
      <c r="Q503" s="62" t="s">
        <v>35</v>
      </c>
    </row>
    <row r="504" spans="1:17" ht="179.75" customHeight="1" x14ac:dyDescent="0.35">
      <c r="A504" s="62" t="s">
        <v>5327</v>
      </c>
      <c r="B504" s="62" t="s">
        <v>1156</v>
      </c>
      <c r="C504" s="63" t="s">
        <v>5328</v>
      </c>
      <c r="D504" s="63" t="s">
        <v>122</v>
      </c>
      <c r="E504" s="62" t="s">
        <v>5329</v>
      </c>
      <c r="F504" s="63" t="s">
        <v>5330</v>
      </c>
      <c r="G504" s="62" t="s">
        <v>5331</v>
      </c>
      <c r="H504" s="63" t="s">
        <v>5332</v>
      </c>
      <c r="I504" s="63" t="s">
        <v>5333</v>
      </c>
      <c r="J504" s="63" t="s">
        <v>5322</v>
      </c>
      <c r="K504" s="63" t="s">
        <v>5334</v>
      </c>
      <c r="L504" s="63" t="s">
        <v>5335</v>
      </c>
      <c r="M504" s="64" t="str">
        <f>HYPERLINK("https://hoa.texas.gov/sites/default/files/certificates/103474/7714-9766/am/Pages%20from%202%20Recorded%20%5BHoney%20Creek%5D%20Declaration%20of%20Covenants%2C%20Conditions%20and%20Restrictions%2055-81.pdf","https://hoa.texas.gov/sites/default/files/certificates/103474/7714-9766/am/Pages%20from%202%20Recorded%20%5BHoney%20Creek%5D%20Declaration%20of%20Covenants%2C%20Conditions%20and%20Restrictions%2055-81.pdf")</f>
        <v>https://hoa.texas.gov/sites/default/files/certificates/103474/7714-9766/am/Pages%20from%202%20Recorded%20%5BHoney%20Creek%5D%20Declaration%20of%20Covenants%2C%20Conditions%20and%20Restrictions%2055-81.pdf</v>
      </c>
      <c r="N504" s="63" t="s">
        <v>5336</v>
      </c>
      <c r="O504" s="63" t="s">
        <v>5337</v>
      </c>
      <c r="P504" s="62" t="s">
        <v>413</v>
      </c>
      <c r="Q504" s="62" t="s">
        <v>35</v>
      </c>
    </row>
  </sheetData>
  <mergeCells count="2">
    <mergeCell ref="A1:Q1"/>
    <mergeCell ref="A2:Q2"/>
  </mergeCells>
  <hyperlinks>
    <hyperlink ref="H3" r:id="rId1" xr:uid="{00000000-0004-0000-0300-000000000000}"/>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Database Guide &amp; Links</vt:lpstr>
      <vt:lpstr>START HERE - READ ME</vt:lpstr>
      <vt:lpstr>Complaint 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Vicki MacHale - Your YouNique Design</dc:creator>
  <dc:description/>
  <cp:lastModifiedBy>Vicki MacHale - Your YouNique Design</cp:lastModifiedBy>
  <cp:revision>0</cp:revision>
  <dcterms:created xsi:type="dcterms:W3CDTF">2026-08-27T03:11:08Z</dcterms:created>
  <dcterms:modified xsi:type="dcterms:W3CDTF">2026-08-27T03:11:08Z</dcterms:modified>
  <dc:language>en-US</dc:language>
</cp:coreProperties>
</file>